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成本\2022-1-0105“826工程”新建职工住宅价格评估\F02\"/>
    </mc:Choice>
  </mc:AlternateContent>
  <xr:revisionPtr revIDLastSave="0" documentId="13_ncr:1_{EDC325B9-65C8-4130-BFE5-5E83F8597461}" xr6:coauthVersionLast="45" xr6:coauthVersionMax="45" xr10:uidLastSave="{00000000-0000-0000-0000-000000000000}"/>
  <bookViews>
    <workbookView xWindow="-120" yWindow="-120" windowWidth="20730" windowHeight="1116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面积表" sheetId="80" r:id="rId17"/>
    <sheet name="结果汇总" sheetId="84" r:id="rId18"/>
    <sheet name="比较法-车位" sheetId="35" r:id="rId19"/>
    <sheet name="结果表-车位" sheetId="9" r:id="rId20"/>
    <sheet name="车位成交案例" sheetId="79" r:id="rId21"/>
    <sheet name="收益法-车位" sheetId="15" r:id="rId22"/>
    <sheet name="车位租金案例" sheetId="81" r:id="rId23"/>
    <sheet name="比较法-仓储" sheetId="36" state="hidden" r:id="rId24"/>
    <sheet name="成本法-车位" sheetId="85" r:id="rId25"/>
    <sheet name="结果表-仓储" sheetId="82" r:id="rId26"/>
    <sheet name="收益法-仓储" sheetId="78" r:id="rId27"/>
    <sheet name="仓储租金案例" sheetId="83" r:id="rId28"/>
    <sheet name="成本法-仓储" sheetId="68" r:id="rId29"/>
    <sheet name="成本法 (元)" sheetId="69" state="hidden" r:id="rId30"/>
    <sheet name="假设开发法" sheetId="12" state="hidden" r:id="rId31"/>
    <sheet name="收益法 (元)" sheetId="67" state="hidden" r:id="rId32"/>
    <sheet name="收益法-酒店模型" sheetId="77" state="hidden" r:id="rId33"/>
    <sheet name="收益法（汇总）" sheetId="70" state="hidden" r:id="rId34"/>
    <sheet name="比较法-住宅" sheetId="21" state="hidden" r:id="rId35"/>
    <sheet name="比较法-商业" sheetId="33" state="hidden" r:id="rId36"/>
    <sheet name="比较法-办公" sheetId="34" state="hidden" r:id="rId37"/>
    <sheet name="比较法-工业" sheetId="37" state="hidden" r:id="rId38"/>
    <sheet name="土地比较法-住宅、综合" sheetId="39" state="hidden" r:id="rId39"/>
    <sheet name="土地比较法-工业" sheetId="40" state="hidden" r:id="rId40"/>
    <sheet name="基准地价修正" sheetId="43" r:id="rId41"/>
    <sheet name="修正" sheetId="45" state="hidden" r:id="rId42"/>
    <sheet name="容积率修正" sheetId="46" state="hidden" r:id="rId43"/>
    <sheet name="基准地价（汇总）" sheetId="76" state="hidden" r:id="rId44"/>
    <sheet name="地价" sheetId="71" r:id="rId45"/>
    <sheet name="典型户型修正" sheetId="31" state="hidden" r:id="rId46"/>
    <sheet name="成本法（废）" sheetId="11" state="hidden" r:id="rId47"/>
    <sheet name="区片价" sheetId="44" state="hidden" r:id="rId48"/>
    <sheet name="因素修正幅度" sheetId="65" state="hidden" r:id="rId49"/>
    <sheet name="存贷款利率" sheetId="73" state="hidden" r:id="rId50"/>
    <sheet name="系统读取表" sheetId="74" r:id="rId51"/>
    <sheet name="区片价（范围）" sheetId="75" state="hidden" r:id="rId52"/>
  </sheets>
  <externalReferences>
    <externalReference r:id="rId53"/>
  </externalReferences>
  <definedNames>
    <definedName name="_xlnm._FilterDatabase" localSheetId="36" hidden="1">'比较法-办公'!$A$1:$L$50</definedName>
    <definedName name="_xlnm._FilterDatabase" localSheetId="23" hidden="1">'比较法-仓储'!$A$1:$L$37</definedName>
    <definedName name="_xlnm._FilterDatabase" localSheetId="1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39" hidden="1">'土地比较法-工业'!$A$1:$L$43</definedName>
    <definedName name="_xlnm._FilterDatabase" localSheetId="38" hidden="1">'土地比较法-住宅、综合'!$A$1:$L$48</definedName>
    <definedName name="_xlnm._FilterDatabase" localSheetId="10" hidden="1">项目基本情况!$A$42:$N$42</definedName>
    <definedName name="_xlnm.Print_Area" localSheetId="36">'比较法-办公'!$A$1:$K$55,'比较法-办公'!$A$58:$M$132</definedName>
    <definedName name="_xlnm.Print_Area" localSheetId="23">'比较法-仓储'!$A$1:$K$42,'比较法-仓储'!$A$45:$M$96</definedName>
    <definedName name="_xlnm.Print_Area" localSheetId="18">'比较法-车位'!$A$1:$K$44,'比较法-车位'!$A$47:$M$102</definedName>
    <definedName name="_xlnm.Print_Area" localSheetId="37">'比较法-工业'!$A$1:$K$48,'比较法-工业'!$A$51:$M$113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9">'成本法 (元)'!$A$1:$G$57</definedName>
    <definedName name="_xlnm.Print_Area" localSheetId="28">'成本法-仓储'!$A$1:$G$57</definedName>
    <definedName name="_xlnm.Print_Area" localSheetId="24">'成本法-车位'!$A$1:$G$57</definedName>
    <definedName name="_xlnm.Print_Area" localSheetId="15">估价对象房地状况!$A$1:$G$24</definedName>
    <definedName name="_xlnm.Print_Area" localSheetId="8">估价师及机构信息!$A$1:$G$22</definedName>
    <definedName name="_xlnm.Print_Area" localSheetId="43">'基准地价（汇总）'!$A$1:$E$13</definedName>
    <definedName name="_xlnm.Print_Area" localSheetId="40">基准地价修正!$A$1:$J$41,基准地价修正!$A$45:$H$88,基准地价修正!$R$1:$V$16</definedName>
    <definedName name="_xlnm.Print_Area" localSheetId="30">假设开发法!$A$1:$K$32</definedName>
    <definedName name="_xlnm.Print_Area" localSheetId="25">'结果表-仓储'!$A$1:$I$127</definedName>
    <definedName name="_xlnm.Print_Area" localSheetId="19">'结果表-车位'!$A$1:$I$127</definedName>
    <definedName name="_xlnm.Print_Area" localSheetId="31">'收益法 (元)'!$A$1:$F$43,'收益法 (元)'!$H$3:$M$29,'收益法 (元)'!$A$45:$F$71,'收益法 (元)'!$I$46:$N$65</definedName>
    <definedName name="_xlnm.Print_Area" localSheetId="33">'收益法（汇总）'!$A$1:$F$13</definedName>
    <definedName name="_xlnm.Print_Area" localSheetId="26">'收益法-仓储'!$A$1:$F$43,'收益法-仓储'!$H$3:$M$29,'收益法-仓储'!$A$46:$F$71,'收益法-仓储'!$I$46:$N$65</definedName>
    <definedName name="_xlnm.Print_Area" localSheetId="21">'收益法-车位'!$A$1:$F$43,'收益法-车位'!$H$3:$M$29,'收益法-车位'!$A$46:$F$71,'收益法-车位'!$I$46:$N$65</definedName>
    <definedName name="_xlnm.Print_Area" localSheetId="13">'数据-汇总表'!$A$1:$P$32</definedName>
    <definedName name="_xlnm.Print_Area" localSheetId="39">'土地比较法-工业'!$A$1:$K$61,'土地比较法-工业'!$A$64:$M$121</definedName>
    <definedName name="_xlnm.Print_Area" localSheetId="38">'土地比较法-住宅、综合'!$A$1:$K$66,'土地比较法-住宅、综合'!$A$69:$M$132</definedName>
    <definedName name="_xlnm.Print_Area" localSheetId="50">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32">[1]定义!$D$1:$D$4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32">'[1]数据-汇总表'!$C$17:$C$26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7" i="84" l="1"/>
  <c r="D4" i="84"/>
  <c r="F38" i="85" l="1"/>
  <c r="E37" i="85"/>
  <c r="F36" i="85"/>
  <c r="F35" i="85"/>
  <c r="F21" i="85"/>
  <c r="F40" i="85" s="1"/>
  <c r="F20" i="85"/>
  <c r="F39" i="85" s="1"/>
  <c r="E10" i="85"/>
  <c r="E9" i="85"/>
  <c r="C8" i="85"/>
  <c r="F7" i="85"/>
  <c r="E2" i="85"/>
  <c r="C40" i="85" l="1"/>
  <c r="C21" i="85"/>
  <c r="A126" i="82"/>
  <c r="A124" i="82"/>
  <c r="A122" i="82"/>
  <c r="A120" i="82"/>
  <c r="E111" i="82"/>
  <c r="H111" i="82" s="1"/>
  <c r="D126" i="82" s="1"/>
  <c r="D127" i="82" s="1"/>
  <c r="E109" i="82"/>
  <c r="H109" i="82" s="1"/>
  <c r="E107" i="82"/>
  <c r="H106" i="82"/>
  <c r="H105" i="82"/>
  <c r="H104" i="82"/>
  <c r="D101" i="82"/>
  <c r="C101" i="82"/>
  <c r="C91" i="82"/>
  <c r="E90" i="82"/>
  <c r="D89" i="82"/>
  <c r="C89" i="82" s="1"/>
  <c r="C87" i="82" s="1"/>
  <c r="H77" i="82"/>
  <c r="D77" i="82"/>
  <c r="C76" i="82"/>
  <c r="F59" i="82"/>
  <c r="O55" i="82" s="1"/>
  <c r="E59" i="82"/>
  <c r="N55" i="82" s="1"/>
  <c r="F56" i="82"/>
  <c r="K55" i="82"/>
  <c r="J55" i="82"/>
  <c r="I55" i="82"/>
  <c r="F55" i="82"/>
  <c r="O54" i="82"/>
  <c r="N54" i="82"/>
  <c r="O53" i="82"/>
  <c r="N53" i="82"/>
  <c r="K49" i="82"/>
  <c r="E48" i="82"/>
  <c r="N52" i="82" s="1"/>
  <c r="D48" i="82"/>
  <c r="M52" i="82" s="1"/>
  <c r="F33" i="82"/>
  <c r="D27" i="82"/>
  <c r="C25" i="82"/>
  <c r="C24" i="82"/>
  <c r="C17" i="82"/>
  <c r="D5" i="82"/>
  <c r="D17" i="82" s="1"/>
  <c r="L4" i="82"/>
  <c r="K4" i="82"/>
  <c r="H1" i="82"/>
  <c r="G41" i="43"/>
  <c r="H13" i="4"/>
  <c r="AH7" i="1"/>
  <c r="D5" i="9"/>
  <c r="I27" i="35"/>
  <c r="F81" i="35" s="1"/>
  <c r="G27" i="35"/>
  <c r="E81" i="35" s="1"/>
  <c r="E27" i="35"/>
  <c r="D81" i="35" s="1"/>
  <c r="C27" i="35"/>
  <c r="C81" i="35" s="1"/>
  <c r="I20" i="80"/>
  <c r="H20" i="80"/>
  <c r="O19" i="80"/>
  <c r="N20" i="80" s="1"/>
  <c r="N19" i="80"/>
  <c r="M19" i="80"/>
  <c r="L19" i="80"/>
  <c r="K19" i="80"/>
  <c r="J19" i="80"/>
  <c r="C3" i="84" s="1"/>
  <c r="E3" i="84" s="1"/>
  <c r="I19" i="80"/>
  <c r="C6" i="84" s="1"/>
  <c r="E6" i="84" s="1"/>
  <c r="H19" i="80"/>
  <c r="D39" i="43" s="1"/>
  <c r="G19" i="80"/>
  <c r="F19" i="80"/>
  <c r="E19" i="80"/>
  <c r="D19" i="80"/>
  <c r="C19" i="80"/>
  <c r="O1" i="80" s="1"/>
  <c r="B19" i="80"/>
  <c r="Q15" i="80"/>
  <c r="S9" i="80"/>
  <c r="S5" i="80"/>
  <c r="S10" i="80" s="1"/>
  <c r="I5" i="79"/>
  <c r="I4" i="79"/>
  <c r="J4" i="79" s="1"/>
  <c r="I31" i="35" s="1"/>
  <c r="I3" i="79"/>
  <c r="J3" i="79" s="1"/>
  <c r="G31" i="35" s="1"/>
  <c r="I2" i="79"/>
  <c r="J2" i="79"/>
  <c r="E31" i="35" s="1"/>
  <c r="D34" i="82"/>
  <c r="D35" i="82"/>
  <c r="H103" i="82" l="1"/>
  <c r="D120" i="82" s="1"/>
  <c r="D124" i="82"/>
  <c r="D125" i="82" s="1"/>
  <c r="M49" i="82"/>
  <c r="B20" i="80"/>
  <c r="C2" i="84"/>
  <c r="J5" i="79"/>
  <c r="C31" i="35" s="1"/>
  <c r="J20" i="80"/>
  <c r="C18" i="82"/>
  <c r="D18" i="82" s="1"/>
  <c r="L66" i="82"/>
  <c r="M66" i="82" s="1"/>
  <c r="L65" i="82"/>
  <c r="M65" i="82" s="1"/>
  <c r="L64" i="82"/>
  <c r="M64" i="82" s="1"/>
  <c r="L63" i="82"/>
  <c r="M63" i="82" s="1"/>
  <c r="M69" i="82" s="1"/>
  <c r="N69" i="82" s="1"/>
  <c r="L68" i="82"/>
  <c r="M68" i="82" s="1"/>
  <c r="L67" i="82"/>
  <c r="M67" i="82" s="1"/>
  <c r="C92" i="82"/>
  <c r="C94" i="82"/>
  <c r="K120" i="82"/>
  <c r="D121" i="82"/>
  <c r="H112" i="82"/>
  <c r="H110" i="82"/>
  <c r="I6" i="35"/>
  <c r="G6" i="35"/>
  <c r="E6" i="35"/>
  <c r="Q72" i="78"/>
  <c r="Q59" i="78"/>
  <c r="K59" i="78"/>
  <c r="P74" i="78" s="1"/>
  <c r="F59" i="78"/>
  <c r="Q58" i="78"/>
  <c r="Q51" i="78"/>
  <c r="J50" i="78"/>
  <c r="M47" i="78"/>
  <c r="D46" i="78"/>
  <c r="F33" i="78"/>
  <c r="F61" i="78" s="1"/>
  <c r="F31" i="78"/>
  <c r="F23" i="78"/>
  <c r="F21" i="78"/>
  <c r="F20" i="78"/>
  <c r="M19" i="78"/>
  <c r="F18" i="78"/>
  <c r="M17" i="78"/>
  <c r="F17" i="78"/>
  <c r="F15" i="78"/>
  <c r="B59" i="1"/>
  <c r="G20" i="6"/>
  <c r="G19" i="6"/>
  <c r="D3" i="4"/>
  <c r="E2" i="84" l="1"/>
  <c r="C4" i="84"/>
  <c r="D23" i="78"/>
  <c r="D22" i="78"/>
  <c r="D24" i="78"/>
  <c r="P61" i="78"/>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6" i="71"/>
  <c r="AG6" i="71"/>
  <c r="AE6" i="71"/>
  <c r="AF6" i="71" s="1"/>
  <c r="AD6" i="71"/>
  <c r="Q6" i="71"/>
  <c r="P6" i="71"/>
  <c r="O6" i="71"/>
  <c r="N6" i="71"/>
  <c r="C32" i="77" l="1"/>
  <c r="C38" i="77" s="1"/>
  <c r="C39" i="77" s="1"/>
  <c r="R25" i="77"/>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A2" i="53"/>
  <c r="B19" i="72" s="1"/>
  <c r="K59" i="67"/>
  <c r="P61" i="67"/>
  <c r="K59" i="15"/>
  <c r="P74" i="15"/>
  <c r="P61" i="15"/>
  <c r="P74" i="67"/>
  <c r="D116" i="39"/>
  <c r="E116" i="39"/>
  <c r="F116" i="39"/>
  <c r="G116" i="39"/>
  <c r="H116" i="39"/>
  <c r="I116" i="39"/>
  <c r="J116" i="39"/>
  <c r="K116" i="39"/>
  <c r="L116" i="39"/>
  <c r="M116" i="39"/>
  <c r="C116" i="39"/>
  <c r="A21" i="62"/>
  <c r="B67" i="72" s="1"/>
  <c r="A20" i="62"/>
  <c r="B66" i="72" s="1"/>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J10" i="43"/>
  <c r="K49" i="9"/>
  <c r="E107" i="9"/>
  <c r="A122" i="9" s="1"/>
  <c r="A8" i="52" s="1"/>
  <c r="E111" i="9"/>
  <c r="A126" i="9"/>
  <c r="E109" i="9"/>
  <c r="A124" i="9"/>
  <c r="B44" i="72"/>
  <c r="B42" i="72"/>
  <c r="B69" i="72"/>
  <c r="B68" i="72"/>
  <c r="B63" i="72"/>
  <c r="B62" i="72"/>
  <c r="B16" i="72"/>
  <c r="B65" i="72"/>
  <c r="B10" i="72"/>
  <c r="C53" i="10"/>
  <c r="B51" i="10"/>
  <c r="A18" i="51"/>
  <c r="B13" i="72" s="1"/>
  <c r="C8" i="68"/>
  <c r="B49" i="48"/>
  <c r="B5" i="72" s="1"/>
  <c r="I19" i="43"/>
  <c r="D86" i="71"/>
  <c r="F85" i="71"/>
  <c r="F84" i="71" s="1"/>
  <c r="F83" i="71" s="1"/>
  <c r="E85" i="71"/>
  <c r="E84" i="71" s="1"/>
  <c r="E83" i="71" s="1"/>
  <c r="C85" i="71"/>
  <c r="D85" i="71" s="1"/>
  <c r="B85" i="71"/>
  <c r="B84" i="71" s="1"/>
  <c r="B83" i="71" s="1"/>
  <c r="D82" i="71"/>
  <c r="F81" i="71"/>
  <c r="F80" i="71" s="1"/>
  <c r="F79" i="71" s="1"/>
  <c r="E81" i="71"/>
  <c r="E80" i="71" s="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E69" i="71"/>
  <c r="U69" i="71" s="1"/>
  <c r="C69" i="71"/>
  <c r="T69" i="71" s="1"/>
  <c r="B69" i="71"/>
  <c r="S69" i="71" s="1"/>
  <c r="Q68" i="71"/>
  <c r="P68" i="71"/>
  <c r="O68" i="71"/>
  <c r="N68" i="71"/>
  <c r="Q67" i="71"/>
  <c r="P67" i="71"/>
  <c r="O67" i="71"/>
  <c r="N67" i="71"/>
  <c r="Q66" i="71"/>
  <c r="P66" i="71"/>
  <c r="O66" i="71"/>
  <c r="N66" i="71"/>
  <c r="D66" i="71"/>
  <c r="F65" i="71"/>
  <c r="E65" i="71"/>
  <c r="C65" i="71"/>
  <c r="B65" i="71"/>
  <c r="S65"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c r="V57" i="71" s="1"/>
  <c r="P54" i="71"/>
  <c r="E55" i="71" s="1"/>
  <c r="O54" i="71"/>
  <c r="C55" i="71" s="1"/>
  <c r="D55" i="71" s="1"/>
  <c r="N54" i="71"/>
  <c r="B55" i="71" s="1"/>
  <c r="B56" i="7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c r="B52" i="71" s="1"/>
  <c r="B53" i="71" s="1"/>
  <c r="S53" i="71" s="1"/>
  <c r="D50" i="71"/>
  <c r="Q49" i="71"/>
  <c r="P49" i="71"/>
  <c r="O49" i="71"/>
  <c r="N49" i="71"/>
  <c r="Q48" i="71"/>
  <c r="P48" i="71"/>
  <c r="O48" i="71"/>
  <c r="N48" i="71"/>
  <c r="Q47" i="71"/>
  <c r="P47" i="71"/>
  <c r="O47" i="71"/>
  <c r="N47" i="71"/>
  <c r="Q46" i="71"/>
  <c r="F47" i="71" s="1"/>
  <c r="P46" i="71"/>
  <c r="E47" i="71" s="1"/>
  <c r="E48" i="71" s="1"/>
  <c r="E49" i="71" s="1"/>
  <c r="U49" i="71" s="1"/>
  <c r="O46" i="71"/>
  <c r="C47" i="71" s="1"/>
  <c r="D47" i="71" s="1"/>
  <c r="N46" i="71"/>
  <c r="B47" i="71" s="1"/>
  <c r="B48" i="7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D39" i="71" s="1"/>
  <c r="N38" i="71"/>
  <c r="B39" i="71" s="1"/>
  <c r="D38" i="71"/>
  <c r="Q37" i="71"/>
  <c r="P37" i="71"/>
  <c r="O37" i="71"/>
  <c r="N37" i="71"/>
  <c r="Q36" i="71"/>
  <c r="AB36" i="71" s="1"/>
  <c r="P36" i="71"/>
  <c r="O36" i="71"/>
  <c r="N36" i="71"/>
  <c r="X36" i="71" s="1"/>
  <c r="Q35" i="71"/>
  <c r="P35" i="71"/>
  <c r="AA35" i="71" s="1"/>
  <c r="O35" i="71"/>
  <c r="Y35" i="71" s="1"/>
  <c r="Z35" i="71" s="1"/>
  <c r="N35" i="71"/>
  <c r="Q34" i="71"/>
  <c r="F35" i="71" s="1"/>
  <c r="P34" i="71"/>
  <c r="O34" i="71"/>
  <c r="N34" i="71"/>
  <c r="X34" i="71" s="1"/>
  <c r="D34" i="71"/>
  <c r="Q33" i="71"/>
  <c r="P33" i="71"/>
  <c r="AA33" i="71" s="1"/>
  <c r="O33" i="71"/>
  <c r="Y33" i="71" s="1"/>
  <c r="Z33" i="71" s="1"/>
  <c r="N33" i="71"/>
  <c r="Q32" i="71"/>
  <c r="P32" i="71"/>
  <c r="O32" i="71"/>
  <c r="Y32" i="71"/>
  <c r="Z32" i="71" s="1"/>
  <c r="N32" i="71"/>
  <c r="Q31" i="71"/>
  <c r="P31" i="71"/>
  <c r="O31" i="71"/>
  <c r="Y31" i="71" s="1"/>
  <c r="Z31" i="71" s="1"/>
  <c r="N31" i="71"/>
  <c r="Q30" i="71"/>
  <c r="F31" i="71" s="1"/>
  <c r="P30" i="71"/>
  <c r="E31" i="71" s="1"/>
  <c r="O30" i="71"/>
  <c r="N30" i="71"/>
  <c r="D30" i="71"/>
  <c r="Q29" i="71"/>
  <c r="P29" i="71"/>
  <c r="AA29" i="71" s="1"/>
  <c r="O29" i="71"/>
  <c r="N29" i="71"/>
  <c r="X27" i="71" s="1"/>
  <c r="Q28" i="71"/>
  <c r="P28" i="71"/>
  <c r="AA27" i="71" s="1"/>
  <c r="O28" i="71"/>
  <c r="Y28" i="71"/>
  <c r="Z28" i="71" s="1"/>
  <c r="N28" i="71"/>
  <c r="Q27" i="71"/>
  <c r="P27" i="71"/>
  <c r="O27" i="71"/>
  <c r="Y27" i="71" s="1"/>
  <c r="Z27" i="71" s="1"/>
  <c r="N27" i="71"/>
  <c r="Q26" i="71"/>
  <c r="P26" i="71"/>
  <c r="O26" i="71"/>
  <c r="Y26" i="71" s="1"/>
  <c r="Z26" i="71" s="1"/>
  <c r="N26" i="71"/>
  <c r="D26" i="71"/>
  <c r="O25" i="71"/>
  <c r="N25" i="71"/>
  <c r="B27" i="71"/>
  <c r="B28" i="71" s="1"/>
  <c r="B29" i="71" s="1"/>
  <c r="S29" i="71" s="1"/>
  <c r="E27" i="71"/>
  <c r="E28" i="71" s="1"/>
  <c r="E29" i="71" s="1"/>
  <c r="U29" i="71" s="1"/>
  <c r="B31" i="71"/>
  <c r="B32" i="71" s="1"/>
  <c r="B33" i="71" s="1"/>
  <c r="S33" i="71" s="1"/>
  <c r="B35" i="71"/>
  <c r="B36" i="71" s="1"/>
  <c r="B37" i="71" s="1"/>
  <c r="S37" i="71" s="1"/>
  <c r="E35" i="71"/>
  <c r="E36" i="71" s="1"/>
  <c r="E37" i="71" s="1"/>
  <c r="N65" i="71"/>
  <c r="E32" i="71"/>
  <c r="C27" i="71"/>
  <c r="C28" i="71" s="1"/>
  <c r="AA28" i="71"/>
  <c r="C31" i="71"/>
  <c r="C32" i="71" s="1"/>
  <c r="Y30" i="71"/>
  <c r="Z30" i="71" s="1"/>
  <c r="X31" i="71"/>
  <c r="X33" i="71"/>
  <c r="C35" i="71"/>
  <c r="D35" i="71" s="1"/>
  <c r="Y34" i="71"/>
  <c r="Z34" i="71"/>
  <c r="X35" i="71"/>
  <c r="F48" i="71"/>
  <c r="F49" i="71" s="1"/>
  <c r="V49" i="71" s="1"/>
  <c r="Y22" i="71"/>
  <c r="Z22" i="71" s="1"/>
  <c r="Y24" i="71"/>
  <c r="Z24" i="71" s="1"/>
  <c r="B25" i="71"/>
  <c r="B24" i="71" s="1"/>
  <c r="B23" i="71" s="1"/>
  <c r="X25" i="71"/>
  <c r="D27" i="71"/>
  <c r="C36" i="71"/>
  <c r="D36" i="71" s="1"/>
  <c r="C40" i="71"/>
  <c r="C44" i="71"/>
  <c r="D44" i="71" s="1"/>
  <c r="C48" i="71"/>
  <c r="P25" i="71"/>
  <c r="AA24" i="71" s="1"/>
  <c r="E52" i="71"/>
  <c r="E53" i="71" s="1"/>
  <c r="U53" i="71" s="1"/>
  <c r="E56" i="71"/>
  <c r="E57" i="71" s="1"/>
  <c r="U57" i="71" s="1"/>
  <c r="E64" i="71"/>
  <c r="E63" i="71" s="1"/>
  <c r="Q25" i="71"/>
  <c r="AB25" i="71" s="1"/>
  <c r="C56" i="71"/>
  <c r="D56" i="71" s="1"/>
  <c r="C60" i="71"/>
  <c r="C61" i="71" s="1"/>
  <c r="D61" i="71" s="1"/>
  <c r="T65" i="71"/>
  <c r="O65" i="71"/>
  <c r="D65" i="71"/>
  <c r="C64" i="71"/>
  <c r="C63" i="71" s="1"/>
  <c r="Q65" i="71"/>
  <c r="C68" i="71"/>
  <c r="C67" i="71" s="1"/>
  <c r="D67" i="71" s="1"/>
  <c r="E68" i="71"/>
  <c r="E67" i="71" s="1"/>
  <c r="D69" i="71"/>
  <c r="C72" i="71"/>
  <c r="D73" i="71"/>
  <c r="C76" i="71"/>
  <c r="E76" i="71"/>
  <c r="E75" i="71" s="1"/>
  <c r="D77" i="71"/>
  <c r="C80" i="71"/>
  <c r="D80" i="71" s="1"/>
  <c r="C84" i="71"/>
  <c r="C83" i="71" s="1"/>
  <c r="D83" i="71" s="1"/>
  <c r="F25" i="71"/>
  <c r="F24" i="71" s="1"/>
  <c r="F23" i="71" s="1"/>
  <c r="AA22" i="71"/>
  <c r="O64" i="71"/>
  <c r="D60" i="71"/>
  <c r="D72" i="71"/>
  <c r="C71" i="71"/>
  <c r="D71" i="71" s="1"/>
  <c r="D84" i="71"/>
  <c r="D76" i="71"/>
  <c r="C75" i="71"/>
  <c r="D75" i="71" s="1"/>
  <c r="D68" i="71"/>
  <c r="C57" i="71"/>
  <c r="D57" i="71" s="1"/>
  <c r="P64" i="71"/>
  <c r="C49" i="71"/>
  <c r="D49" i="71" s="1"/>
  <c r="D48" i="71"/>
  <c r="C41" i="71"/>
  <c r="D41" i="71" s="1"/>
  <c r="D40" i="71"/>
  <c r="C37" i="71"/>
  <c r="D37" i="71" s="1"/>
  <c r="T37" i="71"/>
  <c r="T49" i="71"/>
  <c r="T61" i="71"/>
  <c r="O27" i="6"/>
  <c r="N27" i="6"/>
  <c r="P20" i="6"/>
  <c r="P21" i="6"/>
  <c r="P22" i="6"/>
  <c r="P23" i="6"/>
  <c r="P24" i="6"/>
  <c r="P25" i="6"/>
  <c r="P26" i="6"/>
  <c r="P19" i="6"/>
  <c r="P27" i="6" s="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s="1"/>
  <c r="C22" i="20"/>
  <c r="B75" i="43" s="1"/>
  <c r="C25" i="40"/>
  <c r="S25" i="40"/>
  <c r="S18" i="36"/>
  <c r="U18" i="36"/>
  <c r="H25" i="40"/>
  <c r="U25" i="40" s="1"/>
  <c r="J25" i="40"/>
  <c r="W25" i="40" s="1"/>
  <c r="H29" i="39"/>
  <c r="J29" i="39"/>
  <c r="AC29" i="39" s="1"/>
  <c r="J18" i="36"/>
  <c r="AC18" i="36" s="1"/>
  <c r="H18" i="35"/>
  <c r="AB18" i="35" s="1"/>
  <c r="J18" i="35"/>
  <c r="W18" i="35" s="1"/>
  <c r="H21" i="37"/>
  <c r="F21" i="37"/>
  <c r="AA21" i="37" s="1"/>
  <c r="H21" i="34"/>
  <c r="AB21" i="34" s="1"/>
  <c r="H21" i="33"/>
  <c r="U21" i="33" s="1"/>
  <c r="F21" i="33"/>
  <c r="AA21" i="33" s="1"/>
  <c r="E83" i="21"/>
  <c r="F83" i="21" s="1"/>
  <c r="G83" i="21" s="1"/>
  <c r="S21" i="21"/>
  <c r="H1" i="69"/>
  <c r="AC25" i="40"/>
  <c r="AB25" i="40"/>
  <c r="AB29" i="39"/>
  <c r="U29" i="39"/>
  <c r="W29" i="39"/>
  <c r="W18" i="36"/>
  <c r="AB21" i="37"/>
  <c r="U21" i="37"/>
  <c r="S21" i="37"/>
  <c r="AB21" i="33"/>
  <c r="AC18" i="35"/>
  <c r="J21" i="37"/>
  <c r="AC21" i="37" s="1"/>
  <c r="J21" i="34"/>
  <c r="AC21" i="34" s="1"/>
  <c r="J21" i="33"/>
  <c r="AC21" i="33" s="1"/>
  <c r="H21" i="21"/>
  <c r="AB21" i="21" s="1"/>
  <c r="F38" i="69"/>
  <c r="E37" i="69"/>
  <c r="F36" i="69"/>
  <c r="F35" i="69"/>
  <c r="F21" i="69"/>
  <c r="F40" i="69" s="1"/>
  <c r="F20" i="69"/>
  <c r="F39" i="69" s="1"/>
  <c r="E10" i="69"/>
  <c r="E9" i="69"/>
  <c r="C7" i="69"/>
  <c r="W21" i="37"/>
  <c r="U21" i="21"/>
  <c r="J21" i="21"/>
  <c r="W21" i="21" s="1"/>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A13" i="51"/>
  <c r="B11" i="72" s="1"/>
  <c r="S1" i="4"/>
  <c r="A4" i="51" s="1"/>
  <c r="B6" i="72" s="1"/>
  <c r="B1" i="4"/>
  <c r="B37" i="48" s="1"/>
  <c r="B2" i="72"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3"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A8" i="1"/>
  <c r="B8" i="1" s="1"/>
  <c r="E8" i="1" s="1"/>
  <c r="A9" i="1"/>
  <c r="A10" i="1"/>
  <c r="K10" i="1" s="1"/>
  <c r="A11" i="1"/>
  <c r="A12" i="1"/>
  <c r="A13" i="1"/>
  <c r="A6" i="1"/>
  <c r="B11" i="1"/>
  <c r="E11" i="1" s="1"/>
  <c r="B7" i="1"/>
  <c r="E7"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s="1"/>
  <c r="G11" i="1"/>
  <c r="I15" i="4"/>
  <c r="H15" i="4"/>
  <c r="G15" i="4"/>
  <c r="E15" i="4"/>
  <c r="D15" i="4"/>
  <c r="F8" i="1" s="1"/>
  <c r="F7" i="1"/>
  <c r="L21" i="4"/>
  <c r="F19" i="4"/>
  <c r="F2" i="52"/>
  <c r="B50" i="72" s="1"/>
  <c r="D2" i="52"/>
  <c r="B46" i="72" s="1"/>
  <c r="B8" i="53"/>
  <c r="B23" i="72" s="1"/>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B22" i="1"/>
  <c r="E1" i="73" s="1"/>
  <c r="B23" i="1"/>
  <c r="B24" i="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F36" i="39" s="1"/>
  <c r="J30" i="36"/>
  <c r="H30" i="36"/>
  <c r="F30" i="36"/>
  <c r="AA30" i="36"/>
  <c r="C26" i="35"/>
  <c r="C79" i="35" s="1"/>
  <c r="J31" i="35"/>
  <c r="W31" i="35" s="1"/>
  <c r="H31" i="35"/>
  <c r="AB31" i="35" s="1"/>
  <c r="F31" i="35"/>
  <c r="AA31" i="35" s="1"/>
  <c r="D87" i="35"/>
  <c r="E87" i="35" s="1"/>
  <c r="F87" i="35" s="1"/>
  <c r="H34" i="37"/>
  <c r="D101" i="37"/>
  <c r="F34" i="37"/>
  <c r="AA34" i="37" s="1"/>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G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F31" i="39" s="1"/>
  <c r="AA31" i="39" s="1"/>
  <c r="D97" i="39"/>
  <c r="J23" i="39"/>
  <c r="AC23" i="39" s="1"/>
  <c r="D95" i="39"/>
  <c r="E95" i="39" s="1"/>
  <c r="F95" i="39" s="1"/>
  <c r="G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J11" i="36" s="1"/>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J25" i="35" s="1"/>
  <c r="B75" i="35"/>
  <c r="J24" i="35" s="1"/>
  <c r="AC24" i="35" s="1"/>
  <c r="B73" i="35"/>
  <c r="H23" i="35" s="1"/>
  <c r="B57" i="35"/>
  <c r="B61" i="35"/>
  <c r="J13" i="35" s="1"/>
  <c r="AC13" i="35" s="1"/>
  <c r="B59" i="35"/>
  <c r="B131" i="34"/>
  <c r="B129" i="34"/>
  <c r="B127" i="34"/>
  <c r="B99" i="34"/>
  <c r="B97" i="34"/>
  <c r="B95" i="34"/>
  <c r="B93" i="34"/>
  <c r="J29" i="34" s="1"/>
  <c r="W29" i="34" s="1"/>
  <c r="B75" i="34"/>
  <c r="B73" i="34"/>
  <c r="J13" i="34" s="1"/>
  <c r="B71" i="34"/>
  <c r="F12" i="34" s="1"/>
  <c r="B130" i="33"/>
  <c r="J46" i="33" s="1"/>
  <c r="B128" i="33"/>
  <c r="B126" i="33"/>
  <c r="J44" i="33" s="1"/>
  <c r="B98" i="33"/>
  <c r="B96" i="33"/>
  <c r="J30" i="33" s="1"/>
  <c r="W30" i="33" s="1"/>
  <c r="B94" i="33"/>
  <c r="B74" i="33"/>
  <c r="H14" i="33" s="1"/>
  <c r="U14" i="33" s="1"/>
  <c r="B72" i="33"/>
  <c r="B70" i="33"/>
  <c r="J12" i="33" s="1"/>
  <c r="AC12" i="33" s="1"/>
  <c r="D96" i="35"/>
  <c r="E96" i="35" s="1"/>
  <c r="F96" i="35" s="1"/>
  <c r="G96" i="35" s="1"/>
  <c r="D94" i="35"/>
  <c r="E94" i="35" s="1"/>
  <c r="F94" i="35" s="1"/>
  <c r="G94" i="35" s="1"/>
  <c r="H94" i="35" s="1"/>
  <c r="I94" i="35" s="1"/>
  <c r="J94" i="35" s="1"/>
  <c r="K94" i="35" s="1"/>
  <c r="L94" i="35" s="1"/>
  <c r="M94" i="35" s="1"/>
  <c r="D84" i="35"/>
  <c r="E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Q31" i="35"/>
  <c r="Z31" i="35" s="1"/>
  <c r="Q30" i="35"/>
  <c r="Z30" i="35" s="1"/>
  <c r="Q29" i="35"/>
  <c r="Z29" i="35" s="1"/>
  <c r="Q28" i="35"/>
  <c r="Z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AC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Q11" i="34"/>
  <c r="Z11" i="34" s="1"/>
  <c r="Q10" i="34"/>
  <c r="Z10" i="34" s="1"/>
  <c r="F10" i="34"/>
  <c r="AA10" i="34" s="1"/>
  <c r="Q9" i="34"/>
  <c r="Z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AA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B128" i="21"/>
  <c r="J45" i="21"/>
  <c r="W45" i="21" s="1"/>
  <c r="B126" i="21"/>
  <c r="B98" i="21"/>
  <c r="H31" i="21" s="1"/>
  <c r="AB31" i="21" s="1"/>
  <c r="B96" i="21"/>
  <c r="H30" i="21" s="1"/>
  <c r="B94" i="21"/>
  <c r="J29" i="21" s="1"/>
  <c r="AC29" i="21" s="1"/>
  <c r="B92" i="21"/>
  <c r="H28" i="21" s="1"/>
  <c r="B90" i="21"/>
  <c r="J27" i="21" s="1"/>
  <c r="W27" i="21" s="1"/>
  <c r="B74" i="21"/>
  <c r="J14" i="21" s="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J44" i="39"/>
  <c r="AC44" i="39" s="1"/>
  <c r="H36" i="39"/>
  <c r="AB36" i="39" s="1"/>
  <c r="J35" i="39"/>
  <c r="AC35" i="39" s="1"/>
  <c r="F35" i="39"/>
  <c r="AA35" i="39" s="1"/>
  <c r="U9" i="39"/>
  <c r="W40" i="39"/>
  <c r="W25" i="37"/>
  <c r="F39" i="37"/>
  <c r="F29" i="36"/>
  <c r="AA29" i="36" s="1"/>
  <c r="F16" i="36"/>
  <c r="AA16" i="36" s="1"/>
  <c r="W28" i="36"/>
  <c r="S30" i="36"/>
  <c r="AC31" i="36"/>
  <c r="J33" i="36"/>
  <c r="W33" i="36" s="1"/>
  <c r="H22" i="35"/>
  <c r="AB22" i="35" s="1"/>
  <c r="F36" i="34"/>
  <c r="J35" i="34"/>
  <c r="S34" i="34"/>
  <c r="H39" i="33"/>
  <c r="AB39" i="33" s="1"/>
  <c r="F26" i="33"/>
  <c r="AA26" i="33" s="1"/>
  <c r="U35" i="33"/>
  <c r="S40" i="33"/>
  <c r="W33" i="33"/>
  <c r="H39" i="37"/>
  <c r="AB39" i="37" s="1"/>
  <c r="F11" i="40"/>
  <c r="AA11" i="40" s="1"/>
  <c r="H11" i="40"/>
  <c r="AB11" i="40" s="1"/>
  <c r="W8" i="40"/>
  <c r="AC40" i="40"/>
  <c r="AA9" i="40"/>
  <c r="U9" i="40"/>
  <c r="S34" i="40"/>
  <c r="S40"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E101" i="39"/>
  <c r="F101" i="39" s="1"/>
  <c r="G101" i="39" s="1"/>
  <c r="H19" i="39"/>
  <c r="AB19" i="39"/>
  <c r="F19" i="39"/>
  <c r="AA19" i="39"/>
  <c r="H17" i="39"/>
  <c r="AB17" i="39"/>
  <c r="F17" i="39"/>
  <c r="AA17" i="39"/>
  <c r="J23" i="40"/>
  <c r="AC23" i="40"/>
  <c r="F21" i="40"/>
  <c r="AA21" i="40"/>
  <c r="J21" i="40"/>
  <c r="W21" i="40"/>
  <c r="H42" i="39"/>
  <c r="AB42" i="39"/>
  <c r="J34" i="39"/>
  <c r="AC34" i="39"/>
  <c r="J31" i="39"/>
  <c r="H27" i="39"/>
  <c r="U27" i="39" s="1"/>
  <c r="J19" i="39"/>
  <c r="AC19" i="39" s="1"/>
  <c r="J17" i="39"/>
  <c r="J27" i="39"/>
  <c r="AC27" i="39" s="1"/>
  <c r="F27" i="39"/>
  <c r="F11" i="21"/>
  <c r="S11" i="21"/>
  <c r="U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W32" i="40"/>
  <c r="F37" i="39"/>
  <c r="AA37" i="39"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24" i="36"/>
  <c r="AA24" i="36" s="1"/>
  <c r="F34" i="36"/>
  <c r="S34" i="36" s="1"/>
  <c r="S10" i="36"/>
  <c r="AB8" i="36"/>
  <c r="S8" i="36"/>
  <c r="U8" i="35"/>
  <c r="F14" i="35"/>
  <c r="AA14" i="35" s="1"/>
  <c r="J16" i="35"/>
  <c r="AC16" i="35" s="1"/>
  <c r="F16" i="35"/>
  <c r="S16" i="35" s="1"/>
  <c r="H33" i="35"/>
  <c r="AB33" i="35" s="1"/>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H33" i="37"/>
  <c r="AB33" i="37" s="1"/>
  <c r="F33" i="37"/>
  <c r="AA33" i="37" s="1"/>
  <c r="U34" i="37"/>
  <c r="S34" i="37"/>
  <c r="J43"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J37" i="34"/>
  <c r="AC37" i="34" s="1"/>
  <c r="J11" i="33"/>
  <c r="W11" i="33" s="1"/>
  <c r="S28" i="34"/>
  <c r="U23" i="40"/>
  <c r="J42" i="21"/>
  <c r="AC42" i="21" s="1"/>
  <c r="H42" i="21"/>
  <c r="U42" i="21" s="1"/>
  <c r="J44" i="34"/>
  <c r="AC44" i="34" s="1"/>
  <c r="F44" i="34"/>
  <c r="AA44" i="34" s="1"/>
  <c r="BL587" i="3"/>
  <c r="J44" i="21"/>
  <c r="AC44" i="21" s="1"/>
  <c r="H44" i="21"/>
  <c r="U44" i="21" s="1"/>
  <c r="F44" i="21"/>
  <c r="AA44" i="21"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AC12" i="40"/>
  <c r="W12" i="40"/>
  <c r="F14" i="33"/>
  <c r="S14" i="33" s="1"/>
  <c r="H30" i="33"/>
  <c r="AB30" i="33" s="1"/>
  <c r="F30" i="33"/>
  <c r="H44" i="33"/>
  <c r="F44" i="33"/>
  <c r="S44" i="33" s="1"/>
  <c r="F46" i="33"/>
  <c r="AA46" i="33" s="1"/>
  <c r="H13" i="34"/>
  <c r="U13" i="34" s="1"/>
  <c r="F13" i="34"/>
  <c r="AA13" i="34" s="1"/>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H13" i="35"/>
  <c r="U13" i="35" s="1"/>
  <c r="J35" i="35"/>
  <c r="AC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A14" i="37"/>
  <c r="AC13" i="36"/>
  <c r="AB46" i="34"/>
  <c r="AB45" i="33"/>
  <c r="U13" i="33"/>
  <c r="BA585"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AZ522" i="3" s="1"/>
  <c r="BA520" i="3"/>
  <c r="BA518" i="3"/>
  <c r="AZ518" i="3" s="1"/>
  <c r="BA516" i="3"/>
  <c r="BA514" i="3"/>
  <c r="BA512" i="3"/>
  <c r="AZ512" i="3"/>
  <c r="BA510" i="3"/>
  <c r="AZ510" i="3"/>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BQ513" i="3"/>
  <c r="BL513" i="3" s="1"/>
  <c r="BQ511" i="3"/>
  <c r="BL511" i="3" s="1"/>
  <c r="BA509" i="3"/>
  <c r="AC509" i="3"/>
  <c r="BQ509" i="3"/>
  <c r="BL509" i="3" s="1"/>
  <c r="BL508" i="3"/>
  <c r="AZ508" i="3" s="1"/>
  <c r="G507" i="3"/>
  <c r="G505" i="3"/>
  <c r="G503" i="3"/>
  <c r="G501" i="3"/>
  <c r="G499" i="3"/>
  <c r="G497" i="3"/>
  <c r="G495" i="3"/>
  <c r="BQ507" i="3"/>
  <c r="BL507" i="3" s="1"/>
  <c r="AZ507" i="3" s="1"/>
  <c r="BQ505" i="3"/>
  <c r="BL505" i="3" s="1"/>
  <c r="BQ503" i="3"/>
  <c r="BL503" i="3" s="1"/>
  <c r="AZ503" i="3" s="1"/>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F39" i="33"/>
  <c r="AA39"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AC32" i="36"/>
  <c r="AC33" i="36"/>
  <c r="W14" i="37"/>
  <c r="AB28" i="37"/>
  <c r="U33" i="37"/>
  <c r="U39" i="37"/>
  <c r="W26" i="37"/>
  <c r="AC8" i="37"/>
  <c r="AB37" i="34"/>
  <c r="AC36" i="34"/>
  <c r="AA13" i="33"/>
  <c r="AC45" i="33"/>
  <c r="U11" i="33"/>
  <c r="U19" i="21"/>
  <c r="W44" i="21"/>
  <c r="U26" i="21"/>
  <c r="F43" i="33"/>
  <c r="AA43" i="33" s="1"/>
  <c r="W15" i="34"/>
  <c r="AC15" i="34"/>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AC13" i="40"/>
  <c r="W23" i="39"/>
  <c r="W43" i="39"/>
  <c r="AB45" i="39"/>
  <c r="U44" i="39"/>
  <c r="H37" i="39"/>
  <c r="H25" i="39"/>
  <c r="AB25" i="39" s="1"/>
  <c r="J25" i="39"/>
  <c r="W25" i="39" s="1"/>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52" i="37" s="1"/>
  <c r="D52" i="37" s="1"/>
  <c r="C7" i="34"/>
  <c r="C7" i="36"/>
  <c r="C46" i="36" s="1"/>
  <c r="D46" i="36" s="1"/>
  <c r="A4" i="52"/>
  <c r="B41" i="72" s="1"/>
  <c r="J11" i="39"/>
  <c r="W11" i="39" s="1"/>
  <c r="F11" i="39"/>
  <c r="AA11" i="39" s="1"/>
  <c r="A12" i="52"/>
  <c r="B56" i="72" s="1"/>
  <c r="S11" i="39"/>
  <c r="G4" i="4"/>
  <c r="I4" i="4"/>
  <c r="F59" i="43"/>
  <c r="H62" i="43" s="1"/>
  <c r="AZ20" i="3"/>
  <c r="BL549" i="3"/>
  <c r="AZ514"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AZ127" i="3" s="1"/>
  <c r="BL128" i="3"/>
  <c r="G129" i="3"/>
  <c r="BA131" i="3"/>
  <c r="AZ131" i="3" s="1"/>
  <c r="BL132" i="3"/>
  <c r="G133" i="3"/>
  <c r="BA135" i="3"/>
  <c r="AZ135" i="3" s="1"/>
  <c r="BL136" i="3"/>
  <c r="G137" i="3"/>
  <c r="BA139" i="3"/>
  <c r="AZ139" i="3" s="1"/>
  <c r="BL140" i="3"/>
  <c r="AZ140" i="3" s="1"/>
  <c r="G141" i="3"/>
  <c r="BA143" i="3"/>
  <c r="BL144" i="3"/>
  <c r="G145" i="3"/>
  <c r="BA147" i="3"/>
  <c r="AZ147" i="3"/>
  <c r="BL148" i="3"/>
  <c r="G149" i="3"/>
  <c r="BA151" i="3"/>
  <c r="BL152" i="3"/>
  <c r="G153" i="3"/>
  <c r="BA155" i="3"/>
  <c r="AZ155" i="3" s="1"/>
  <c r="BL156" i="3"/>
  <c r="AZ156" i="3" s="1"/>
  <c r="G157" i="3"/>
  <c r="BA159" i="3"/>
  <c r="AZ159" i="3" s="1"/>
  <c r="BL160" i="3"/>
  <c r="AZ160" i="3" s="1"/>
  <c r="G161" i="3"/>
  <c r="BA163" i="3"/>
  <c r="BL164" i="3"/>
  <c r="G165" i="3"/>
  <c r="BA167" i="3"/>
  <c r="BL168" i="3"/>
  <c r="G169" i="3"/>
  <c r="BA171" i="3"/>
  <c r="BL172" i="3"/>
  <c r="AZ172" i="3" s="1"/>
  <c r="G173" i="3"/>
  <c r="BA175" i="3"/>
  <c r="AZ175" i="3" s="1"/>
  <c r="BL176" i="3"/>
  <c r="G177" i="3"/>
  <c r="BA179" i="3"/>
  <c r="AZ179" i="3" s="1"/>
  <c r="BL180" i="3"/>
  <c r="G181" i="3"/>
  <c r="BA183" i="3"/>
  <c r="AZ183" i="3" s="1"/>
  <c r="BL184" i="3"/>
  <c r="G185" i="3"/>
  <c r="BA187" i="3"/>
  <c r="BL188" i="3"/>
  <c r="G189" i="3"/>
  <c r="BA191" i="3"/>
  <c r="AZ191" i="3" s="1"/>
  <c r="BL192" i="3"/>
  <c r="G193" i="3"/>
  <c r="BA195" i="3"/>
  <c r="AZ195" i="3" s="1"/>
  <c r="BL196" i="3"/>
  <c r="AZ196" i="3" s="1"/>
  <c r="G197" i="3"/>
  <c r="BA199" i="3"/>
  <c r="BL200" i="3"/>
  <c r="G201" i="3"/>
  <c r="BA203" i="3"/>
  <c r="BL204" i="3"/>
  <c r="AZ204" i="3" s="1"/>
  <c r="AZ59" i="3"/>
  <c r="AZ63" i="3"/>
  <c r="AZ75" i="3"/>
  <c r="AZ79" i="3"/>
  <c r="AZ168" i="3"/>
  <c r="AZ184" i="3"/>
  <c r="AZ200" i="3"/>
  <c r="AZ89" i="3"/>
  <c r="G534" i="3"/>
  <c r="G530" i="3"/>
  <c r="G522" i="3"/>
  <c r="G516" i="3"/>
  <c r="G512" i="3"/>
  <c r="G506" i="3"/>
  <c r="G498" i="3"/>
  <c r="G494" i="3"/>
  <c r="G16" i="3"/>
  <c r="G15" i="3"/>
  <c r="BA304" i="3"/>
  <c r="AZ304" i="3" s="1"/>
  <c r="BA305" i="3"/>
  <c r="BL305" i="3"/>
  <c r="G306" i="3"/>
  <c r="G309" i="3"/>
  <c r="BL310" i="3"/>
  <c r="BA312" i="3"/>
  <c r="BA313" i="3"/>
  <c r="BL313" i="3"/>
  <c r="AZ313" i="3" s="1"/>
  <c r="G314" i="3"/>
  <c r="G317" i="3"/>
  <c r="BL318" i="3"/>
  <c r="BA320" i="3"/>
  <c r="BA321" i="3"/>
  <c r="BL321" i="3"/>
  <c r="G322" i="3"/>
  <c r="G325" i="3"/>
  <c r="BL326" i="3"/>
  <c r="BA328" i="3"/>
  <c r="AZ328" i="3" s="1"/>
  <c r="BA329" i="3"/>
  <c r="BL329" i="3"/>
  <c r="AZ329" i="3" s="1"/>
  <c r="G330" i="3"/>
  <c r="G333" i="3"/>
  <c r="BL334" i="3"/>
  <c r="BA336" i="3"/>
  <c r="AZ336" i="3" s="1"/>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BL364" i="3"/>
  <c r="G365" i="3"/>
  <c r="G368" i="3"/>
  <c r="BL369" i="3"/>
  <c r="BA371" i="3"/>
  <c r="BA372" i="3"/>
  <c r="BL372" i="3"/>
  <c r="G373" i="3"/>
  <c r="G376" i="3"/>
  <c r="BL377" i="3"/>
  <c r="BL379" i="3"/>
  <c r="BA381" i="3"/>
  <c r="AZ381" i="3" s="1"/>
  <c r="BA382" i="3"/>
  <c r="BL382" i="3"/>
  <c r="G383" i="3"/>
  <c r="G386" i="3"/>
  <c r="BL387" i="3"/>
  <c r="BA389" i="3"/>
  <c r="BA390" i="3"/>
  <c r="BL390" i="3"/>
  <c r="G391" i="3"/>
  <c r="G394" i="3"/>
  <c r="AZ138" i="3"/>
  <c r="AZ154" i="3"/>
  <c r="AZ158" i="3"/>
  <c r="AZ182" i="3"/>
  <c r="AZ194" i="3"/>
  <c r="BA16" i="3"/>
  <c r="AZ16" i="3" s="1"/>
  <c r="BL303" i="3"/>
  <c r="G304" i="3"/>
  <c r="BA306" i="3"/>
  <c r="AZ306" i="3" s="1"/>
  <c r="BL307" i="3"/>
  <c r="AZ307" i="3" s="1"/>
  <c r="G308" i="3"/>
  <c r="BA310" i="3"/>
  <c r="AZ310" i="3" s="1"/>
  <c r="BL311" i="3"/>
  <c r="AZ311" i="3" s="1"/>
  <c r="G312" i="3"/>
  <c r="BA314" i="3"/>
  <c r="AZ314" i="3" s="1"/>
  <c r="BL315" i="3"/>
  <c r="G316" i="3"/>
  <c r="BA318" i="3"/>
  <c r="BL319" i="3"/>
  <c r="G320" i="3"/>
  <c r="BA322" i="3"/>
  <c r="AZ322" i="3" s="1"/>
  <c r="BL323" i="3"/>
  <c r="G324" i="3"/>
  <c r="BA326" i="3"/>
  <c r="AZ326" i="3"/>
  <c r="BL327" i="3"/>
  <c r="AZ327" i="3"/>
  <c r="G328" i="3"/>
  <c r="BA330" i="3"/>
  <c r="BL331" i="3"/>
  <c r="G332" i="3"/>
  <c r="BA334" i="3"/>
  <c r="AZ334" i="3"/>
  <c r="BL335" i="3"/>
  <c r="G336" i="3"/>
  <c r="BA338" i="3"/>
  <c r="AZ338" i="3"/>
  <c r="BL339" i="3"/>
  <c r="AZ339" i="3"/>
  <c r="G340" i="3"/>
  <c r="BL343" i="3"/>
  <c r="AZ343" i="3" s="1"/>
  <c r="G344" i="3"/>
  <c r="G348" i="3"/>
  <c r="G355" i="3"/>
  <c r="AZ303" i="3"/>
  <c r="AZ335" i="3"/>
  <c r="G342" i="3"/>
  <c r="BL345" i="3"/>
  <c r="G346" i="3"/>
  <c r="AZ348" i="3"/>
  <c r="BL349" i="3"/>
  <c r="AZ349" i="3" s="1"/>
  <c r="BL352" i="3"/>
  <c r="G353" i="3"/>
  <c r="BA357" i="3"/>
  <c r="AZ357" i="3" s="1"/>
  <c r="BL358" i="3"/>
  <c r="G359" i="3"/>
  <c r="BA361" i="3"/>
  <c r="AZ361" i="3" s="1"/>
  <c r="BL362" i="3"/>
  <c r="G363" i="3"/>
  <c r="BA365" i="3"/>
  <c r="AZ365" i="3" s="1"/>
  <c r="BL366" i="3"/>
  <c r="AZ366" i="3" s="1"/>
  <c r="G367" i="3"/>
  <c r="BA369" i="3"/>
  <c r="AZ369" i="3" s="1"/>
  <c r="BL370" i="3"/>
  <c r="G371" i="3"/>
  <c r="BA373" i="3"/>
  <c r="BL374" i="3"/>
  <c r="G375" i="3"/>
  <c r="BA377" i="3"/>
  <c r="AZ377" i="3" s="1"/>
  <c r="AZ249" i="3"/>
  <c r="AZ253" i="3"/>
  <c r="BA379" i="3"/>
  <c r="BL380" i="3"/>
  <c r="G381" i="3"/>
  <c r="BA383" i="3"/>
  <c r="AZ383" i="3" s="1"/>
  <c r="BL384" i="3"/>
  <c r="AZ384" i="3" s="1"/>
  <c r="G385" i="3"/>
  <c r="BA387" i="3"/>
  <c r="AZ387" i="3" s="1"/>
  <c r="BL388" i="3"/>
  <c r="AZ388" i="3" s="1"/>
  <c r="G389" i="3"/>
  <c r="BA391" i="3"/>
  <c r="BL392" i="3"/>
  <c r="G393" i="3"/>
  <c r="AZ283" i="3"/>
  <c r="AZ287" i="3"/>
  <c r="AZ291" i="3"/>
  <c r="BO5" i="3"/>
  <c r="BM5" i="3"/>
  <c r="F29" i="6" s="1"/>
  <c r="BJ5" i="3"/>
  <c r="BH5" i="3"/>
  <c r="BF5" i="3"/>
  <c r="BD5" i="3"/>
  <c r="AZ317" i="3"/>
  <c r="AC5" i="3"/>
  <c r="AZ506" i="3"/>
  <c r="AZ496" i="3"/>
  <c r="G548" i="3"/>
  <c r="G538" i="3"/>
  <c r="G520" i="3"/>
  <c r="G502" i="3"/>
  <c r="BS5" i="3"/>
  <c r="BP5" i="3"/>
  <c r="BN5" i="3"/>
  <c r="BK5" i="3"/>
  <c r="BI5" i="3"/>
  <c r="BG5" i="3"/>
  <c r="BE5" i="3"/>
  <c r="BC5" i="3"/>
  <c r="G17" i="3"/>
  <c r="BA17" i="3"/>
  <c r="BT5" i="3"/>
  <c r="AZ368" i="3"/>
  <c r="BA15" i="3"/>
  <c r="BB5" i="3"/>
  <c r="E15" i="6" s="1"/>
  <c r="E60" i="40" s="1"/>
  <c r="BR5" i="3"/>
  <c r="AZ380" i="3"/>
  <c r="AZ509" i="3"/>
  <c r="E8" i="6"/>
  <c r="F27" i="6" s="1"/>
  <c r="G509" i="3"/>
  <c r="BL493" i="3"/>
  <c r="AZ493" i="3"/>
  <c r="U36" i="40"/>
  <c r="F36" i="43"/>
  <c r="F81" i="43"/>
  <c r="H83" i="43" s="1"/>
  <c r="H113" i="43"/>
  <c r="F48" i="43"/>
  <c r="H52" i="43" s="1"/>
  <c r="M11" i="43"/>
  <c r="F39" i="43"/>
  <c r="F35" i="43"/>
  <c r="F6" i="1"/>
  <c r="AE6" i="1" s="1"/>
  <c r="AE7" i="1" s="1"/>
  <c r="U17" i="39"/>
  <c r="S14" i="35"/>
  <c r="U43" i="21"/>
  <c r="U35" i="21"/>
  <c r="AC35" i="21"/>
  <c r="U10" i="21"/>
  <c r="G9" i="1"/>
  <c r="AZ501" i="3"/>
  <c r="W44" i="34"/>
  <c r="S15" i="37"/>
  <c r="U13" i="37"/>
  <c r="U12" i="40"/>
  <c r="J37" i="33"/>
  <c r="W37" i="33" s="1"/>
  <c r="AC17" i="34"/>
  <c r="J34" i="33"/>
  <c r="F33" i="34"/>
  <c r="S33" i="34" s="1"/>
  <c r="W12" i="36"/>
  <c r="H20" i="36"/>
  <c r="U20" i="36" s="1"/>
  <c r="J20" i="36"/>
  <c r="W20" i="36" s="1"/>
  <c r="W24" i="36"/>
  <c r="J27" i="36"/>
  <c r="W27" i="36" s="1"/>
  <c r="AB25" i="37"/>
  <c r="AC33" i="40"/>
  <c r="G111" i="40"/>
  <c r="H111" i="40" s="1"/>
  <c r="I111" i="40" s="1"/>
  <c r="J111" i="40" s="1"/>
  <c r="K111" i="40" s="1"/>
  <c r="L111" i="40" s="1"/>
  <c r="M111" i="40" s="1"/>
  <c r="H35" i="40"/>
  <c r="AB35" i="40"/>
  <c r="H35" i="37"/>
  <c r="U35" i="37"/>
  <c r="AB29" i="36"/>
  <c r="U29" i="36"/>
  <c r="H32" i="37"/>
  <c r="AB32" i="37"/>
  <c r="F96" i="37"/>
  <c r="H27" i="40"/>
  <c r="U27" i="40" s="1"/>
  <c r="J27" i="40"/>
  <c r="AC27" i="40" s="1"/>
  <c r="F27" i="40"/>
  <c r="S27" i="40" s="1"/>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S39" i="34" s="1"/>
  <c r="J39" i="34"/>
  <c r="W39" i="34" s="1"/>
  <c r="F40" i="34"/>
  <c r="F43" i="34"/>
  <c r="AA43" i="34" s="1"/>
  <c r="H44" i="34"/>
  <c r="AB44" i="34" s="1"/>
  <c r="AC38" i="39"/>
  <c r="F39" i="39"/>
  <c r="J39" i="39"/>
  <c r="AC39" i="39" s="1"/>
  <c r="E97" i="39"/>
  <c r="F97" i="39" s="1"/>
  <c r="G97" i="39" s="1"/>
  <c r="AZ223" i="3"/>
  <c r="AZ248" i="3"/>
  <c r="AZ251" i="3"/>
  <c r="AZ280" i="3"/>
  <c r="AZ288" i="3"/>
  <c r="AZ133" i="3"/>
  <c r="AZ58" i="3"/>
  <c r="AZ61" i="3"/>
  <c r="AZ77" i="3"/>
  <c r="AZ110" i="3"/>
  <c r="H50" i="43"/>
  <c r="F23" i="39"/>
  <c r="H27" i="36"/>
  <c r="U27" i="36" s="1"/>
  <c r="F27" i="36"/>
  <c r="AA27" i="36" s="1"/>
  <c r="H33" i="34"/>
  <c r="U33" i="34" s="1"/>
  <c r="F32" i="37"/>
  <c r="G96" i="37"/>
  <c r="H96" i="37" s="1"/>
  <c r="I96" i="37" s="1"/>
  <c r="J96" i="37" s="1"/>
  <c r="K96" i="37" s="1"/>
  <c r="L96" i="37" s="1"/>
  <c r="M96" i="37" s="1"/>
  <c r="F20" i="36"/>
  <c r="J33" i="34"/>
  <c r="H23" i="39"/>
  <c r="U23" i="39" s="1"/>
  <c r="D48" i="9"/>
  <c r="M52" i="9" s="1"/>
  <c r="K9" i="1"/>
  <c r="M9" i="1" s="1"/>
  <c r="O9" i="1" s="1"/>
  <c r="P9" i="1" s="1"/>
  <c r="AE9" i="1"/>
  <c r="K6" i="1"/>
  <c r="M6" i="1" s="1"/>
  <c r="G29" i="6"/>
  <c r="W26" i="33"/>
  <c r="AC27" i="34"/>
  <c r="AB34" i="36"/>
  <c r="U34" i="36"/>
  <c r="AB33" i="36"/>
  <c r="U33" i="36"/>
  <c r="AC12" i="39"/>
  <c r="W12" i="39"/>
  <c r="AC39" i="40"/>
  <c r="W39" i="40"/>
  <c r="AZ465" i="3"/>
  <c r="W12" i="33"/>
  <c r="AA32" i="36"/>
  <c r="S32" i="36"/>
  <c r="AZ408" i="3"/>
  <c r="AZ457" i="3"/>
  <c r="BL14" i="3"/>
  <c r="U30" i="33"/>
  <c r="AA47" i="34"/>
  <c r="W28" i="37"/>
  <c r="S19" i="39"/>
  <c r="F12" i="33"/>
  <c r="H12" i="39"/>
  <c r="AB12" i="39" s="1"/>
  <c r="F39" i="40"/>
  <c r="BA14" i="3"/>
  <c r="AZ250" i="3"/>
  <c r="AZ286" i="3"/>
  <c r="AZ181" i="3"/>
  <c r="AZ189" i="3"/>
  <c r="S12" i="1"/>
  <c r="AQ12" i="1" s="1"/>
  <c r="R12" i="1"/>
  <c r="B12" i="1"/>
  <c r="E12" i="1" s="1"/>
  <c r="S10" i="1"/>
  <c r="AQ10" i="1" s="1"/>
  <c r="R10" i="1"/>
  <c r="B10" i="1"/>
  <c r="E10" i="1" s="1"/>
  <c r="K12" i="1"/>
  <c r="M12" i="1" s="1"/>
  <c r="S13" i="1"/>
  <c r="AR13" i="1" s="1"/>
  <c r="R13" i="1"/>
  <c r="S11" i="1"/>
  <c r="AQ11" i="1" s="1"/>
  <c r="R11" i="1"/>
  <c r="S9" i="1"/>
  <c r="AR9" i="1" s="1"/>
  <c r="R9" i="1"/>
  <c r="J51" i="67"/>
  <c r="C42" i="1"/>
  <c r="H100" i="43"/>
  <c r="J100" i="43"/>
  <c r="AB37" i="40"/>
  <c r="S35" i="40"/>
  <c r="U35" i="40"/>
  <c r="AC36" i="40"/>
  <c r="AA32" i="40"/>
  <c r="S17" i="40"/>
  <c r="S23" i="40"/>
  <c r="AC17" i="40"/>
  <c r="AC15" i="40"/>
  <c r="AA19" i="40"/>
  <c r="U21" i="40"/>
  <c r="AB19" i="40"/>
  <c r="W42" i="39"/>
  <c r="W39" i="39"/>
  <c r="S43" i="39"/>
  <c r="S37" i="39"/>
  <c r="U35" i="39"/>
  <c r="F32" i="39"/>
  <c r="S32" i="39" s="1"/>
  <c r="F107" i="39"/>
  <c r="G107" i="39"/>
  <c r="H107" i="39" s="1"/>
  <c r="I107" i="39" s="1"/>
  <c r="U25" i="39"/>
  <c r="AB27" i="39"/>
  <c r="S25" i="39"/>
  <c r="J21" i="39"/>
  <c r="F21" i="39"/>
  <c r="S21" i="39" s="1"/>
  <c r="H21" i="39"/>
  <c r="U21" i="39" s="1"/>
  <c r="W19" i="39"/>
  <c r="U19" i="39"/>
  <c r="S17" i="39"/>
  <c r="AC15" i="39"/>
  <c r="S15" i="39"/>
  <c r="AB15" i="39"/>
  <c r="S9" i="39"/>
  <c r="AC13" i="39"/>
  <c r="S23" i="36"/>
  <c r="U13" i="36"/>
  <c r="AC27" i="36"/>
  <c r="U26" i="36"/>
  <c r="S33" i="36"/>
  <c r="S27" i="36"/>
  <c r="AA34" i="36"/>
  <c r="S29" i="36"/>
  <c r="AC26" i="36"/>
  <c r="AA22" i="36"/>
  <c r="W14" i="36"/>
  <c r="AB14" i="36"/>
  <c r="U22" i="36"/>
  <c r="S16" i="36"/>
  <c r="AA25" i="36"/>
  <c r="S24" i="36"/>
  <c r="U24" i="36"/>
  <c r="AB20" i="36"/>
  <c r="U16" i="36"/>
  <c r="S14" i="36"/>
  <c r="U10" i="36"/>
  <c r="W10" i="36"/>
  <c r="W24" i="35"/>
  <c r="AC30" i="35"/>
  <c r="S22" i="35"/>
  <c r="S8" i="35"/>
  <c r="W9" i="35"/>
  <c r="AC12" i="35"/>
  <c r="F9" i="35"/>
  <c r="AA9" i="35" s="1"/>
  <c r="H9" i="35"/>
  <c r="AB9" i="35" s="1"/>
  <c r="AB40" i="37"/>
  <c r="S25" i="37"/>
  <c r="W27" i="37"/>
  <c r="S26" i="37"/>
  <c r="AC9" i="37"/>
  <c r="U29" i="37"/>
  <c r="AB31" i="37"/>
  <c r="W30" i="37"/>
  <c r="S36" i="37"/>
  <c r="AA38" i="37"/>
  <c r="U32" i="37"/>
  <c r="W38" i="37"/>
  <c r="AC35" i="37"/>
  <c r="W39" i="37"/>
  <c r="S30" i="37"/>
  <c r="AC15" i="37"/>
  <c r="J17" i="37"/>
  <c r="W17" i="37" s="1"/>
  <c r="G73" i="37"/>
  <c r="F17" i="37"/>
  <c r="AA17" i="37" s="1"/>
  <c r="AB17" i="37"/>
  <c r="F75" i="37"/>
  <c r="F19" i="37"/>
  <c r="F79" i="37"/>
  <c r="G79" i="37" s="1"/>
  <c r="F23" i="37"/>
  <c r="S23" i="37" s="1"/>
  <c r="U23" i="37"/>
  <c r="U15" i="37"/>
  <c r="AC13" i="37"/>
  <c r="U9" i="37"/>
  <c r="AA13" i="37"/>
  <c r="AA12" i="37"/>
  <c r="AA9" i="37"/>
  <c r="H10" i="37"/>
  <c r="U10" i="37" s="1"/>
  <c r="H60" i="37"/>
  <c r="F63" i="37"/>
  <c r="G63" i="37" s="1"/>
  <c r="H63" i="37" s="1"/>
  <c r="I63" i="37" s="1"/>
  <c r="J63" i="37" s="1"/>
  <c r="K63" i="37" s="1"/>
  <c r="L63" i="37" s="1"/>
  <c r="M63" i="37" s="1"/>
  <c r="F11" i="37"/>
  <c r="S11" i="37" s="1"/>
  <c r="S27" i="34"/>
  <c r="W25" i="34"/>
  <c r="AB8" i="34"/>
  <c r="AA33" i="34"/>
  <c r="U43" i="34"/>
  <c r="W41" i="34"/>
  <c r="AC42" i="34"/>
  <c r="U39" i="34"/>
  <c r="AB41" i="34"/>
  <c r="W34" i="34"/>
  <c r="AA25" i="34"/>
  <c r="U28" i="34"/>
  <c r="S17" i="34"/>
  <c r="AA29" i="34"/>
  <c r="U27" i="34"/>
  <c r="S23" i="34"/>
  <c r="U15" i="34"/>
  <c r="S10" i="34"/>
  <c r="H67" i="34"/>
  <c r="I67" i="34" s="1"/>
  <c r="H10" i="34"/>
  <c r="F11" i="34"/>
  <c r="S11" i="34" s="1"/>
  <c r="F70" i="34"/>
  <c r="W42" i="33"/>
  <c r="AA35" i="33"/>
  <c r="S32" i="33"/>
  <c r="AB29" i="33"/>
  <c r="W38" i="33"/>
  <c r="H41" i="33"/>
  <c r="U41" i="33" s="1"/>
  <c r="U42" i="33"/>
  <c r="F36" i="33"/>
  <c r="AA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U25" i="33" s="1"/>
  <c r="F25" i="33"/>
  <c r="J23" i="33"/>
  <c r="AC23" i="33" s="1"/>
  <c r="F85" i="33"/>
  <c r="H23" i="33"/>
  <c r="AB23" i="33" s="1"/>
  <c r="F81" i="33"/>
  <c r="F19" i="33"/>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F77" i="21"/>
  <c r="G77" i="21" s="1"/>
  <c r="F23" i="21"/>
  <c r="S23" i="21" s="1"/>
  <c r="E85" i="21"/>
  <c r="F85" i="21" s="1"/>
  <c r="AC11" i="21"/>
  <c r="AB8" i="21"/>
  <c r="S8" i="21"/>
  <c r="M3" i="43"/>
  <c r="M1" i="43"/>
  <c r="N8" i="43"/>
  <c r="D120" i="9"/>
  <c r="M20" i="67"/>
  <c r="G13" i="3"/>
  <c r="BA13" i="3"/>
  <c r="BL17" i="3"/>
  <c r="AZ17" i="3" s="1"/>
  <c r="BL13" i="3"/>
  <c r="J56" i="9"/>
  <c r="J57" i="9" s="1"/>
  <c r="J59" i="9" s="1"/>
  <c r="J61" i="9" s="1"/>
  <c r="A24" i="51"/>
  <c r="B18" i="72" s="1"/>
  <c r="U29" i="34"/>
  <c r="P10" i="1"/>
  <c r="E32" i="6"/>
  <c r="L19" i="6"/>
  <c r="G1" i="68"/>
  <c r="K1" i="12"/>
  <c r="AR12" i="1"/>
  <c r="T12" i="1"/>
  <c r="E19" i="68"/>
  <c r="G22" i="69"/>
  <c r="G26" i="12"/>
  <c r="C100" i="43"/>
  <c r="E11" i="43"/>
  <c r="E10" i="43"/>
  <c r="E9" i="43"/>
  <c r="E8" i="43"/>
  <c r="C7" i="43" s="1"/>
  <c r="E81" i="43"/>
  <c r="B79" i="43" s="1"/>
  <c r="E48" i="43"/>
  <c r="B46" i="43" s="1"/>
  <c r="F100" i="43"/>
  <c r="H81" i="43"/>
  <c r="C17" i="43"/>
  <c r="K17" i="43"/>
  <c r="N6" i="43"/>
  <c r="N3" i="43"/>
  <c r="F38" i="43"/>
  <c r="M9" i="43"/>
  <c r="N5" i="43"/>
  <c r="M12" i="43"/>
  <c r="B19" i="53"/>
  <c r="B37" i="72" s="1"/>
  <c r="C7" i="39"/>
  <c r="C68" i="39" s="1"/>
  <c r="C7" i="35"/>
  <c r="C48" i="35" s="1"/>
  <c r="D48" i="35" s="1"/>
  <c r="C7" i="33"/>
  <c r="C58" i="33" s="1"/>
  <c r="C7" i="21"/>
  <c r="C58" i="21" s="1"/>
  <c r="C7" i="40"/>
  <c r="C63" i="40" s="1"/>
  <c r="M47" i="9"/>
  <c r="G19" i="43"/>
  <c r="O19" i="43" s="1"/>
  <c r="T35" i="4"/>
  <c r="A19" i="51" s="1"/>
  <c r="B14" i="72" s="1"/>
  <c r="C59" i="34"/>
  <c r="D59" i="34" s="1"/>
  <c r="E59" i="34" s="1"/>
  <c r="F59" i="34" s="1"/>
  <c r="G59" i="34" s="1"/>
  <c r="H59" i="34" s="1"/>
  <c r="C4" i="12"/>
  <c r="H66" i="43"/>
  <c r="H65" i="43"/>
  <c r="H64" i="43"/>
  <c r="H63" i="43"/>
  <c r="H55" i="43"/>
  <c r="L20" i="6"/>
  <c r="L27" i="6" s="1"/>
  <c r="E56" i="39"/>
  <c r="E51" i="40"/>
  <c r="B6" i="1"/>
  <c r="E6" i="1" s="1"/>
  <c r="S8" i="1"/>
  <c r="AR8" i="1" s="1"/>
  <c r="K11" i="1"/>
  <c r="M11" i="1" s="1"/>
  <c r="O11" i="1" s="1"/>
  <c r="P11" i="1" s="1"/>
  <c r="AP6" i="1"/>
  <c r="B9" i="1"/>
  <c r="E9" i="1" s="1"/>
  <c r="K7" i="1"/>
  <c r="M7" i="1" s="1"/>
  <c r="G1" i="15"/>
  <c r="G1" i="69"/>
  <c r="G1" i="67"/>
  <c r="W23" i="40"/>
  <c r="U32" i="40"/>
  <c r="S37" i="40"/>
  <c r="AB28" i="40"/>
  <c r="W28" i="40"/>
  <c r="W34" i="40"/>
  <c r="W19" i="40"/>
  <c r="W27" i="40"/>
  <c r="S36" i="40"/>
  <c r="W37" i="40"/>
  <c r="AC14" i="40"/>
  <c r="S13" i="40"/>
  <c r="S33" i="40"/>
  <c r="AA15" i="40"/>
  <c r="U11" i="40"/>
  <c r="S31" i="40"/>
  <c r="AB13" i="40"/>
  <c r="U15" i="40"/>
  <c r="AB17" i="40"/>
  <c r="U8" i="40"/>
  <c r="S8" i="40"/>
  <c r="AC41" i="39"/>
  <c r="U42" i="39"/>
  <c r="AB23" i="39"/>
  <c r="U41" i="39"/>
  <c r="AB41" i="39"/>
  <c r="AC25" i="39"/>
  <c r="U13" i="39"/>
  <c r="AB13" i="39"/>
  <c r="AA13" i="39"/>
  <c r="S13" i="39"/>
  <c r="S14" i="39"/>
  <c r="AA14" i="39"/>
  <c r="U43" i="39"/>
  <c r="AB43" i="39"/>
  <c r="AB11" i="39"/>
  <c r="U11" i="39"/>
  <c r="AA27" i="39"/>
  <c r="S27" i="39"/>
  <c r="W17" i="39"/>
  <c r="AC17" i="39"/>
  <c r="W31" i="39"/>
  <c r="AC31" i="39"/>
  <c r="AB39" i="39"/>
  <c r="W34" i="39"/>
  <c r="U38" i="39"/>
  <c r="S8" i="39"/>
  <c r="AC25" i="36"/>
  <c r="S28" i="36"/>
  <c r="U32" i="36"/>
  <c r="W29" i="36"/>
  <c r="AC20" i="36"/>
  <c r="U25" i="36"/>
  <c r="AB28" i="36"/>
  <c r="AA13" i="36"/>
  <c r="W9" i="36"/>
  <c r="W22" i="36"/>
  <c r="S24" i="35"/>
  <c r="W33" i="35"/>
  <c r="AA30" i="35"/>
  <c r="S35" i="35"/>
  <c r="AA35" i="37"/>
  <c r="W36" i="37"/>
  <c r="S27" i="37"/>
  <c r="S28" i="37"/>
  <c r="U36" i="37"/>
  <c r="S40" i="37"/>
  <c r="U38" i="37"/>
  <c r="AB37" i="37"/>
  <c r="S33" i="37"/>
  <c r="AC34" i="37"/>
  <c r="AB35" i="37"/>
  <c r="AA11" i="37"/>
  <c r="AA31" i="37"/>
  <c r="U19" i="37"/>
  <c r="AA29" i="37"/>
  <c r="AA8" i="37"/>
  <c r="U8" i="37"/>
  <c r="AB40" i="34"/>
  <c r="U19" i="34"/>
  <c r="W19" i="34"/>
  <c r="AB33" i="34"/>
  <c r="AC45" i="34"/>
  <c r="AA31" i="34"/>
  <c r="AA30" i="34"/>
  <c r="AB45" i="34"/>
  <c r="AB47" i="34"/>
  <c r="U25" i="34"/>
  <c r="AB36" i="34"/>
  <c r="AC14" i="34"/>
  <c r="AC32" i="34"/>
  <c r="AC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U39" i="33"/>
  <c r="U38" i="33"/>
  <c r="S33" i="33"/>
  <c r="U44" i="33"/>
  <c r="AB44" i="33"/>
  <c r="S30" i="33"/>
  <c r="AA30" i="33"/>
  <c r="AC30" i="33"/>
  <c r="S31" i="33"/>
  <c r="AA31" i="33"/>
  <c r="W13" i="33"/>
  <c r="AC13" i="33"/>
  <c r="U15" i="33"/>
  <c r="S11" i="33"/>
  <c r="U37" i="33"/>
  <c r="AC28" i="33"/>
  <c r="S28" i="33"/>
  <c r="W9" i="33"/>
  <c r="W8" i="33"/>
  <c r="S44" i="21"/>
  <c r="AB42" i="21"/>
  <c r="AA11" i="21"/>
  <c r="S45" i="21"/>
  <c r="I101" i="21"/>
  <c r="J101" i="21" s="1"/>
  <c r="K101" i="21" s="1"/>
  <c r="L101" i="21" s="1"/>
  <c r="M101" i="21" s="1"/>
  <c r="F33" i="21"/>
  <c r="J33" i="21"/>
  <c r="W33" i="21" s="1"/>
  <c r="H33" i="21"/>
  <c r="AB33" i="21"/>
  <c r="F37" i="21"/>
  <c r="AA37" i="21"/>
  <c r="AA26" i="21"/>
  <c r="U40" i="21"/>
  <c r="U31" i="21"/>
  <c r="U13" i="21"/>
  <c r="AB13" i="21"/>
  <c r="W8" i="21"/>
  <c r="S35" i="21"/>
  <c r="AB37" i="21"/>
  <c r="J37" i="21"/>
  <c r="W37" i="21"/>
  <c r="H15" i="21"/>
  <c r="U15" i="21"/>
  <c r="J17" i="21"/>
  <c r="AC17" i="21"/>
  <c r="AC19" i="21"/>
  <c r="W39" i="21"/>
  <c r="H45" i="21"/>
  <c r="F29" i="21"/>
  <c r="S29" i="21" s="1"/>
  <c r="F13" i="21"/>
  <c r="AA13" i="21" s="1"/>
  <c r="AC38" i="21"/>
  <c r="H32" i="21"/>
  <c r="U32" i="21" s="1"/>
  <c r="H9" i="21"/>
  <c r="U9" i="21" s="1"/>
  <c r="J9" i="21"/>
  <c r="AC9" i="21" s="1"/>
  <c r="J32" i="21"/>
  <c r="AC32" i="21" s="1"/>
  <c r="F32" i="21"/>
  <c r="S32" i="21" s="1"/>
  <c r="AA31" i="21"/>
  <c r="U17" i="21"/>
  <c r="W29" i="21"/>
  <c r="S19" i="21"/>
  <c r="S9" i="21"/>
  <c r="AA9" i="21"/>
  <c r="K141" i="21"/>
  <c r="K144" i="21"/>
  <c r="K143" i="21"/>
  <c r="U27" i="21"/>
  <c r="AB44" i="21"/>
  <c r="W13" i="21"/>
  <c r="W42" i="21"/>
  <c r="AC45" i="21"/>
  <c r="F10" i="21"/>
  <c r="S10" i="21" s="1"/>
  <c r="K145" i="21"/>
  <c r="W17" i="21"/>
  <c r="W25" i="21"/>
  <c r="AA29" i="21"/>
  <c r="S27" i="21"/>
  <c r="S17" i="21"/>
  <c r="AA15" i="21"/>
  <c r="AC27" i="21"/>
  <c r="AC26" i="21"/>
  <c r="AB29" i="21"/>
  <c r="AC34" i="21"/>
  <c r="W10" i="21"/>
  <c r="AB36" i="21"/>
  <c r="W30" i="40"/>
  <c r="C19" i="39"/>
  <c r="C15" i="40"/>
  <c r="C17" i="40"/>
  <c r="C23" i="40"/>
  <c r="C21" i="40"/>
  <c r="U30" i="40"/>
  <c r="B54" i="43"/>
  <c r="B65" i="43"/>
  <c r="B49" i="43"/>
  <c r="B52" i="43"/>
  <c r="B56" i="43"/>
  <c r="B60" i="43"/>
  <c r="B63" i="43"/>
  <c r="B67" i="43"/>
  <c r="D23" i="15"/>
  <c r="E4" i="4"/>
  <c r="B5" i="62" s="1"/>
  <c r="B73" i="72" s="1"/>
  <c r="C4" i="4"/>
  <c r="T13" i="1"/>
  <c r="AA39" i="40"/>
  <c r="S39" i="40"/>
  <c r="S12" i="33"/>
  <c r="AA12" i="33"/>
  <c r="J32" i="39"/>
  <c r="AC32" i="39" s="1"/>
  <c r="J107" i="39"/>
  <c r="K107" i="39" s="1"/>
  <c r="L107" i="39" s="1"/>
  <c r="M107" i="39" s="1"/>
  <c r="H32" i="39"/>
  <c r="AA32" i="39"/>
  <c r="AA21" i="39"/>
  <c r="AC21" i="39"/>
  <c r="W21" i="39"/>
  <c r="U9" i="35"/>
  <c r="S9" i="35"/>
  <c r="AC17" i="37"/>
  <c r="S17" i="37"/>
  <c r="J19" i="37"/>
  <c r="W19" i="37" s="1"/>
  <c r="G75" i="37"/>
  <c r="S19" i="37"/>
  <c r="AA19" i="37"/>
  <c r="AA23" i="37"/>
  <c r="J23" i="37"/>
  <c r="W23" i="37" s="1"/>
  <c r="J10" i="37"/>
  <c r="AC10" i="37" s="1"/>
  <c r="I60" i="37"/>
  <c r="H11" i="37"/>
  <c r="U11" i="37" s="1"/>
  <c r="G70" i="34"/>
  <c r="H70" i="34" s="1"/>
  <c r="I70" i="34" s="1"/>
  <c r="J70" i="34" s="1"/>
  <c r="K70" i="34" s="1"/>
  <c r="L70" i="34" s="1"/>
  <c r="M70" i="34" s="1"/>
  <c r="H11" i="34"/>
  <c r="AB11" i="34" s="1"/>
  <c r="AB10" i="34"/>
  <c r="U10" i="34"/>
  <c r="J10" i="34"/>
  <c r="W10" i="34" s="1"/>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AC27" i="33" s="1"/>
  <c r="S25" i="33"/>
  <c r="AA25" i="33"/>
  <c r="G87" i="33"/>
  <c r="H87" i="33" s="1"/>
  <c r="I87" i="33" s="1"/>
  <c r="J87" i="33" s="1"/>
  <c r="K87" i="33" s="1"/>
  <c r="L87" i="33" s="1"/>
  <c r="M87" i="33" s="1"/>
  <c r="J25" i="33"/>
  <c r="W25" i="33" s="1"/>
  <c r="F23" i="33"/>
  <c r="G85" i="33"/>
  <c r="W23" i="33"/>
  <c r="H19" i="33"/>
  <c r="G81" i="33"/>
  <c r="G79" i="33"/>
  <c r="H17" i="33"/>
  <c r="F17" i="33"/>
  <c r="AA17" i="33" s="1"/>
  <c r="AC17" i="33"/>
  <c r="U10" i="33"/>
  <c r="AB10" i="33"/>
  <c r="AC37" i="21"/>
  <c r="U33" i="21"/>
  <c r="S37" i="21"/>
  <c r="AB15" i="21"/>
  <c r="J23" i="21"/>
  <c r="G85" i="21"/>
  <c r="H23" i="21"/>
  <c r="U23" i="21" s="1"/>
  <c r="S13" i="21"/>
  <c r="AP7" i="1"/>
  <c r="S33" i="21"/>
  <c r="AA33" i="21"/>
  <c r="W32" i="21"/>
  <c r="AB9" i="21"/>
  <c r="AA32" i="21"/>
  <c r="W9" i="21"/>
  <c r="AB32" i="21"/>
  <c r="AA10" i="21"/>
  <c r="A18" i="62"/>
  <c r="B64" i="72" s="1"/>
  <c r="U32" i="39"/>
  <c r="AB32" i="39"/>
  <c r="W32" i="39"/>
  <c r="AC19" i="37"/>
  <c r="AC23" i="37"/>
  <c r="AB11" i="37"/>
  <c r="J11" i="37"/>
  <c r="AC11" i="37" s="1"/>
  <c r="U11" i="34"/>
  <c r="AC10" i="34"/>
  <c r="J11" i="34"/>
  <c r="W11" i="34" s="1"/>
  <c r="AC36" i="33"/>
  <c r="AB36" i="33"/>
  <c r="W27" i="33"/>
  <c r="AA23" i="33"/>
  <c r="S23" i="33"/>
  <c r="S17" i="33"/>
  <c r="U17" i="33"/>
  <c r="AB17" i="33"/>
  <c r="W11" i="37"/>
  <c r="AC11" i="34"/>
  <c r="F34" i="11"/>
  <c r="R8" i="1"/>
  <c r="AE8" i="1"/>
  <c r="AG6" i="1"/>
  <c r="H109" i="9"/>
  <c r="M49" i="9" s="1"/>
  <c r="D16" i="53"/>
  <c r="B34" i="72" s="1"/>
  <c r="H112" i="9"/>
  <c r="D21" i="53" s="1"/>
  <c r="B39" i="72" s="1"/>
  <c r="H111" i="9"/>
  <c r="AD3" i="71"/>
  <c r="J1" i="73"/>
  <c r="H51" i="43"/>
  <c r="H67" i="43"/>
  <c r="H59" i="43"/>
  <c r="H60" i="43"/>
  <c r="H61" i="43"/>
  <c r="M4" i="43"/>
  <c r="M5" i="43"/>
  <c r="N12" i="43"/>
  <c r="N11" i="43"/>
  <c r="M10" i="43"/>
  <c r="M2" i="43"/>
  <c r="M7" i="43"/>
  <c r="H54" i="43"/>
  <c r="N9" i="43"/>
  <c r="M8" i="43"/>
  <c r="N10" i="43"/>
  <c r="H48" i="43"/>
  <c r="M6" i="43"/>
  <c r="N7" i="43"/>
  <c r="F70" i="43" s="1"/>
  <c r="N4" i="43"/>
  <c r="N2" i="43"/>
  <c r="H49" i="43"/>
  <c r="N17" i="43"/>
  <c r="O17" i="43"/>
  <c r="E17" i="43"/>
  <c r="E46" i="36"/>
  <c r="F46" i="36" s="1"/>
  <c r="G46" i="36" s="1"/>
  <c r="H46" i="36" s="1"/>
  <c r="I46" i="36" s="1"/>
  <c r="C24" i="12"/>
  <c r="AB19" i="71"/>
  <c r="X17" i="71"/>
  <c r="X16" i="71"/>
  <c r="AA17" i="71"/>
  <c r="AA16" i="71"/>
  <c r="X20" i="71"/>
  <c r="Y16" i="71"/>
  <c r="Z16" i="71" s="1"/>
  <c r="AB17" i="71"/>
  <c r="AB16" i="71"/>
  <c r="C94" i="9"/>
  <c r="C92" i="9"/>
  <c r="F18" i="71"/>
  <c r="F17" i="71" s="1"/>
  <c r="F16" i="71" s="1"/>
  <c r="F15" i="71" s="1"/>
  <c r="F14" i="71" s="1"/>
  <c r="Y17" i="71"/>
  <c r="Z17" i="71" s="1"/>
  <c r="X3" i="71"/>
  <c r="E18" i="71"/>
  <c r="E17" i="71" s="1"/>
  <c r="E16" i="71" s="1"/>
  <c r="E15" i="71" s="1"/>
  <c r="E14" i="71" s="1"/>
  <c r="E13" i="71" s="1"/>
  <c r="I59" i="34"/>
  <c r="J59" i="34" s="1"/>
  <c r="F34" i="68"/>
  <c r="F34" i="85"/>
  <c r="M27" i="15"/>
  <c r="M24" i="15"/>
  <c r="E7" i="76"/>
  <c r="D3" i="73"/>
  <c r="B9" i="76"/>
  <c r="F9" i="67"/>
  <c r="F36" i="15"/>
  <c r="D2" i="21"/>
  <c r="AO10" i="1"/>
  <c r="M6" i="67"/>
  <c r="C76" i="67"/>
  <c r="F3" i="73"/>
  <c r="B13" i="76"/>
  <c r="D35" i="9"/>
  <c r="F4" i="73"/>
  <c r="AO8" i="1"/>
  <c r="D2" i="33"/>
  <c r="M22" i="67"/>
  <c r="M9" i="67"/>
  <c r="D34" i="9"/>
  <c r="F6" i="73"/>
  <c r="F5" i="73"/>
  <c r="B10" i="76"/>
  <c r="F36" i="67"/>
  <c r="E2" i="68"/>
  <c r="F40" i="15"/>
  <c r="M23" i="67"/>
  <c r="M27" i="67"/>
  <c r="F13" i="67"/>
  <c r="F26" i="67"/>
  <c r="AO12" i="1"/>
  <c r="B7" i="76"/>
  <c r="M6" i="15"/>
  <c r="M28" i="15"/>
  <c r="F41" i="67"/>
  <c r="D2" i="36"/>
  <c r="AO9" i="1"/>
  <c r="D2" i="34"/>
  <c r="J15" i="15"/>
  <c r="M29" i="15"/>
  <c r="F37" i="67"/>
  <c r="AO13" i="1"/>
  <c r="F40" i="67"/>
  <c r="F7" i="67"/>
  <c r="E8" i="76"/>
  <c r="E10" i="76"/>
  <c r="E13" i="76"/>
  <c r="F7" i="15"/>
  <c r="AO11" i="1"/>
  <c r="F42" i="67"/>
  <c r="F38" i="15"/>
  <c r="B11" i="76"/>
  <c r="D2" i="37"/>
  <c r="E11" i="76"/>
  <c r="F7" i="73"/>
  <c r="E9" i="76"/>
  <c r="E12" i="76"/>
  <c r="F9" i="15"/>
  <c r="B12" i="76"/>
  <c r="F8" i="15"/>
  <c r="F20" i="31"/>
  <c r="E2" i="69"/>
  <c r="D2" i="35"/>
  <c r="B8" i="76"/>
  <c r="D4" i="73"/>
  <c r="AB23" i="21" l="1"/>
  <c r="V17" i="71"/>
  <c r="H110" i="9"/>
  <c r="D18" i="53" s="1"/>
  <c r="B35" i="72" s="1"/>
  <c r="W10" i="37"/>
  <c r="AB26" i="37"/>
  <c r="U26" i="37"/>
  <c r="AC37" i="39"/>
  <c r="W37" i="39"/>
  <c r="AC31" i="40"/>
  <c r="W31" i="40"/>
  <c r="S22" i="31"/>
  <c r="R22" i="31" s="1"/>
  <c r="S43" i="34"/>
  <c r="AC39" i="34"/>
  <c r="G28" i="6"/>
  <c r="AZ391" i="3"/>
  <c r="AZ373" i="3"/>
  <c r="AZ390" i="3"/>
  <c r="AZ389" i="3"/>
  <c r="AZ382" i="3"/>
  <c r="AZ371" i="3"/>
  <c r="AZ364" i="3"/>
  <c r="AZ356" i="3"/>
  <c r="AZ347" i="3"/>
  <c r="AZ344" i="3"/>
  <c r="AZ342" i="3"/>
  <c r="AZ321" i="3"/>
  <c r="AZ378" i="3"/>
  <c r="AZ360" i="3"/>
  <c r="W14" i="39"/>
  <c r="S14" i="40"/>
  <c r="AC12" i="37"/>
  <c r="W40" i="37"/>
  <c r="AB13" i="34"/>
  <c r="U14" i="40"/>
  <c r="AA41" i="34"/>
  <c r="AZ505" i="3"/>
  <c r="AZ515" i="3"/>
  <c r="AZ533" i="3"/>
  <c r="AZ555" i="3"/>
  <c r="AZ565" i="3"/>
  <c r="AZ516" i="3"/>
  <c r="AZ524" i="3"/>
  <c r="AZ528" i="3"/>
  <c r="AZ532" i="3"/>
  <c r="AZ536" i="3"/>
  <c r="AZ544" i="3"/>
  <c r="AZ554" i="3"/>
  <c r="AZ558" i="3"/>
  <c r="AZ566" i="3"/>
  <c r="AZ574" i="3"/>
  <c r="AZ582" i="3"/>
  <c r="AZ502" i="3"/>
  <c r="AZ546" i="3"/>
  <c r="AZ560" i="3"/>
  <c r="AZ584" i="3"/>
  <c r="S44" i="34"/>
  <c r="U31" i="33"/>
  <c r="AA14" i="34"/>
  <c r="W33" i="37"/>
  <c r="C21" i="39"/>
  <c r="C25" i="39"/>
  <c r="S40" i="21"/>
  <c r="H31" i="39"/>
  <c r="AC9" i="40"/>
  <c r="W39" i="33"/>
  <c r="U33" i="33"/>
  <c r="AA31" i="36"/>
  <c r="U14" i="37"/>
  <c r="W31" i="37"/>
  <c r="F45" i="39"/>
  <c r="J14" i="35"/>
  <c r="W14" i="35" s="1"/>
  <c r="J23" i="36"/>
  <c r="G574" i="3"/>
  <c r="G570" i="3"/>
  <c r="G551" i="3"/>
  <c r="BA385" i="3"/>
  <c r="BL385" i="3"/>
  <c r="AZ358" i="3"/>
  <c r="AZ312" i="3"/>
  <c r="AZ167" i="3"/>
  <c r="AZ359" i="3"/>
  <c r="AZ549" i="3"/>
  <c r="BA587" i="3"/>
  <c r="AZ587" i="3" s="1"/>
  <c r="BA586" i="3"/>
  <c r="G526" i="3"/>
  <c r="G14" i="3"/>
  <c r="BL399" i="3"/>
  <c r="G400" i="3"/>
  <c r="G402" i="3"/>
  <c r="G406" i="3"/>
  <c r="G408" i="3"/>
  <c r="G411" i="3"/>
  <c r="BL412" i="3"/>
  <c r="G413" i="3"/>
  <c r="G416" i="3"/>
  <c r="BL417" i="3"/>
  <c r="G418" i="3"/>
  <c r="BA419" i="3"/>
  <c r="AZ419" i="3" s="1"/>
  <c r="BL421" i="3"/>
  <c r="G422" i="3"/>
  <c r="BL423" i="3"/>
  <c r="G424" i="3"/>
  <c r="G427" i="3"/>
  <c r="BL428" i="3"/>
  <c r="G429" i="3"/>
  <c r="G432" i="3"/>
  <c r="BL433" i="3"/>
  <c r="G434" i="3"/>
  <c r="BA435" i="3"/>
  <c r="AZ435" i="3" s="1"/>
  <c r="BA437" i="3"/>
  <c r="BL437" i="3"/>
  <c r="BA439" i="3"/>
  <c r="BL439" i="3"/>
  <c r="G440" i="3"/>
  <c r="BL441" i="3"/>
  <c r="G442" i="3"/>
  <c r="BA443" i="3"/>
  <c r="AZ443" i="3" s="1"/>
  <c r="BL445" i="3"/>
  <c r="G446" i="3"/>
  <c r="BL447" i="3"/>
  <c r="G448" i="3"/>
  <c r="BL451" i="3"/>
  <c r="G452" i="3"/>
  <c r="G457" i="3"/>
  <c r="BL458" i="3"/>
  <c r="G459" i="3"/>
  <c r="BL460" i="3"/>
  <c r="G461" i="3"/>
  <c r="BL462" i="3"/>
  <c r="G463" i="3"/>
  <c r="G467" i="3"/>
  <c r="BA468" i="3"/>
  <c r="BL468" i="3"/>
  <c r="BA470" i="3"/>
  <c r="BL470" i="3"/>
  <c r="BA471" i="3"/>
  <c r="AZ471" i="3" s="1"/>
  <c r="BA473" i="3"/>
  <c r="AZ473" i="3" s="1"/>
  <c r="BL473" i="3"/>
  <c r="BA474" i="3"/>
  <c r="AZ474" i="3" s="1"/>
  <c r="BL476" i="3"/>
  <c r="G477" i="3"/>
  <c r="BL478" i="3"/>
  <c r="G479" i="3"/>
  <c r="G484" i="3"/>
  <c r="BA485" i="3"/>
  <c r="BL485" i="3"/>
  <c r="BA486" i="3"/>
  <c r="AZ486" i="3" s="1"/>
  <c r="BA487" i="3"/>
  <c r="BL487" i="3"/>
  <c r="BA488" i="3"/>
  <c r="AZ488" i="3" s="1"/>
  <c r="BA490" i="3"/>
  <c r="AZ490" i="3" s="1"/>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L367" i="3"/>
  <c r="G392" i="3"/>
  <c r="BL393" i="3"/>
  <c r="AZ393" i="3" s="1"/>
  <c r="BA396" i="3"/>
  <c r="AZ396" i="3" s="1"/>
  <c r="BL396" i="3"/>
  <c r="BA397" i="3"/>
  <c r="AZ397" i="3" s="1"/>
  <c r="BA209" i="3"/>
  <c r="BL209" i="3"/>
  <c r="BA210" i="3"/>
  <c r="AZ210" i="3" s="1"/>
  <c r="BL212" i="3"/>
  <c r="G213" i="3"/>
  <c r="BL214" i="3"/>
  <c r="G215" i="3"/>
  <c r="BA216" i="3"/>
  <c r="AZ216" i="3" s="1"/>
  <c r="BL216" i="3"/>
  <c r="BA217" i="3"/>
  <c r="AZ217" i="3" s="1"/>
  <c r="BA218" i="3"/>
  <c r="AZ218" i="3" s="1"/>
  <c r="BL220" i="3"/>
  <c r="G221" i="3"/>
  <c r="G223" i="3"/>
  <c r="G225" i="3"/>
  <c r="BA226" i="3"/>
  <c r="AZ226" i="3" s="1"/>
  <c r="BL226" i="3"/>
  <c r="BL228" i="3"/>
  <c r="G229" i="3"/>
  <c r="BA230" i="3"/>
  <c r="BL230" i="3"/>
  <c r="BA231" i="3"/>
  <c r="AZ231" i="3" s="1"/>
  <c r="BA232" i="3"/>
  <c r="AZ232" i="3" s="1"/>
  <c r="BA233" i="3"/>
  <c r="AZ233" i="3" s="1"/>
  <c r="BA234" i="3"/>
  <c r="AZ234" i="3" s="1"/>
  <c r="BA235" i="3"/>
  <c r="AZ235" i="3" s="1"/>
  <c r="BA237" i="3"/>
  <c r="BL237" i="3"/>
  <c r="BL239" i="3"/>
  <c r="G240" i="3"/>
  <c r="BL241" i="3"/>
  <c r="G242" i="3"/>
  <c r="G244" i="3"/>
  <c r="BL245" i="3"/>
  <c r="G246" i="3"/>
  <c r="G253" i="3"/>
  <c r="G255" i="3"/>
  <c r="BL256" i="3"/>
  <c r="G257" i="3"/>
  <c r="BA258" i="3"/>
  <c r="AZ258" i="3" s="1"/>
  <c r="BL258" i="3"/>
  <c r="BL260" i="3"/>
  <c r="G261" i="3"/>
  <c r="BA262" i="3"/>
  <c r="AZ262" i="3" s="1"/>
  <c r="BL262" i="3"/>
  <c r="BA264" i="3"/>
  <c r="AZ264" i="3" s="1"/>
  <c r="BA265" i="3"/>
  <c r="AZ265" i="3" s="1"/>
  <c r="BA266" i="3"/>
  <c r="AZ266" i="3" s="1"/>
  <c r="BA268" i="3"/>
  <c r="BL268" i="3"/>
  <c r="BA270" i="3"/>
  <c r="AZ270" i="3" s="1"/>
  <c r="BA271" i="3"/>
  <c r="AZ271" i="3" s="1"/>
  <c r="BA273" i="3"/>
  <c r="BL273" i="3"/>
  <c r="BA274" i="3"/>
  <c r="AZ274" i="3" s="1"/>
  <c r="BA275" i="3"/>
  <c r="AZ275" i="3" s="1"/>
  <c r="BL277" i="3"/>
  <c r="G278" i="3"/>
  <c r="G280" i="3"/>
  <c r="G282" i="3"/>
  <c r="G285" i="3"/>
  <c r="G290" i="3"/>
  <c r="G293" i="3"/>
  <c r="BA294" i="3"/>
  <c r="AZ294" i="3" s="1"/>
  <c r="BL294" i="3"/>
  <c r="BA296" i="3"/>
  <c r="AZ296" i="3" s="1"/>
  <c r="BL296" i="3"/>
  <c r="BA298" i="3"/>
  <c r="AZ298" i="3" s="1"/>
  <c r="BA299" i="3"/>
  <c r="AZ299" i="3" s="1"/>
  <c r="BL301" i="3"/>
  <c r="G302" i="3"/>
  <c r="BA113" i="3"/>
  <c r="AZ113" i="3" s="1"/>
  <c r="BL113" i="3"/>
  <c r="BL115" i="3"/>
  <c r="AZ115" i="3" s="1"/>
  <c r="G116" i="3"/>
  <c r="BA117" i="3"/>
  <c r="AZ117" i="3" s="1"/>
  <c r="BL119" i="3"/>
  <c r="AZ119" i="3" s="1"/>
  <c r="G120" i="3"/>
  <c r="BL122" i="3"/>
  <c r="G123" i="3"/>
  <c r="BA124" i="3"/>
  <c r="AZ124" i="3" s="1"/>
  <c r="BA126" i="3"/>
  <c r="AZ126" i="3" s="1"/>
  <c r="BL126" i="3"/>
  <c r="BA128" i="3"/>
  <c r="AZ128" i="3" s="1"/>
  <c r="G131" i="3"/>
  <c r="G135" i="3"/>
  <c r="G138" i="3"/>
  <c r="BA141" i="3"/>
  <c r="AZ141" i="3" s="1"/>
  <c r="BL141" i="3"/>
  <c r="BL143" i="3"/>
  <c r="AZ143" i="3" s="1"/>
  <c r="G144" i="3"/>
  <c r="BA146" i="3"/>
  <c r="AZ146" i="3" s="1"/>
  <c r="BL146" i="3"/>
  <c r="BA148" i="3"/>
  <c r="AZ148" i="3" s="1"/>
  <c r="BL150" i="3"/>
  <c r="G151" i="3"/>
  <c r="BA152" i="3"/>
  <c r="AZ152" i="3" s="1"/>
  <c r="G158" i="3"/>
  <c r="BA161" i="3"/>
  <c r="BL161" i="3"/>
  <c r="BL163" i="3"/>
  <c r="AZ163" i="3" s="1"/>
  <c r="G164" i="3"/>
  <c r="BA165" i="3"/>
  <c r="AZ165" i="3" s="1"/>
  <c r="BA166" i="3"/>
  <c r="AZ166" i="3" s="1"/>
  <c r="BL167" i="3"/>
  <c r="BA169" i="3"/>
  <c r="AZ169" i="3" s="1"/>
  <c r="BA170" i="3"/>
  <c r="AZ170" i="3" s="1"/>
  <c r="BL171" i="3"/>
  <c r="AZ171" i="3" s="1"/>
  <c r="BA174" i="3"/>
  <c r="BL174" i="3"/>
  <c r="BA176" i="3"/>
  <c r="AZ176" i="3" s="1"/>
  <c r="G179" i="3"/>
  <c r="BL186" i="3"/>
  <c r="G187" i="3"/>
  <c r="BA188" i="3"/>
  <c r="AZ188" i="3" s="1"/>
  <c r="G191" i="3"/>
  <c r="G194" i="3"/>
  <c r="BL197" i="3"/>
  <c r="G198" i="3"/>
  <c r="G200" i="3"/>
  <c r="BL201" i="3"/>
  <c r="G202" i="3"/>
  <c r="G204" i="3"/>
  <c r="BA205" i="3"/>
  <c r="AZ205" i="3" s="1"/>
  <c r="BL205" i="3"/>
  <c r="BL207" i="3"/>
  <c r="G18" i="3"/>
  <c r="G20" i="3"/>
  <c r="G22" i="3"/>
  <c r="BA23" i="3"/>
  <c r="BL23" i="3"/>
  <c r="BL25" i="3"/>
  <c r="G26" i="3"/>
  <c r="BA27" i="3"/>
  <c r="BL27" i="3"/>
  <c r="BA29" i="3"/>
  <c r="AZ29" i="3" s="1"/>
  <c r="BL29" i="3"/>
  <c r="BA30" i="3"/>
  <c r="AZ30" i="3" s="1"/>
  <c r="BA31" i="3"/>
  <c r="AZ31" i="3" s="1"/>
  <c r="BA32" i="3"/>
  <c r="AZ32" i="3" s="1"/>
  <c r="BA33" i="3"/>
  <c r="AZ33" i="3" s="1"/>
  <c r="BA35" i="3"/>
  <c r="AZ35" i="3" s="1"/>
  <c r="BL35" i="3"/>
  <c r="BA36" i="3"/>
  <c r="AZ36" i="3" s="1"/>
  <c r="BA37" i="3"/>
  <c r="AZ37" i="3" s="1"/>
  <c r="BA39" i="3"/>
  <c r="AZ39" i="3" s="1"/>
  <c r="BL39" i="3"/>
  <c r="BA40" i="3"/>
  <c r="AZ40" i="3" s="1"/>
  <c r="BA41" i="3"/>
  <c r="AZ41" i="3" s="1"/>
  <c r="BA42" i="3"/>
  <c r="AZ42" i="3" s="1"/>
  <c r="BA43" i="3"/>
  <c r="AZ43" i="3" s="1"/>
  <c r="BA45" i="3"/>
  <c r="AZ45" i="3" s="1"/>
  <c r="BL45" i="3"/>
  <c r="BA46" i="3"/>
  <c r="AZ46" i="3" s="1"/>
  <c r="BA47" i="3"/>
  <c r="AZ47" i="3" s="1"/>
  <c r="D63" i="71"/>
  <c r="O63" i="71"/>
  <c r="O62" i="71"/>
  <c r="D32" i="71"/>
  <c r="C33" i="71"/>
  <c r="D28" i="71"/>
  <c r="C29" i="71"/>
  <c r="BL49" i="3"/>
  <c r="G50" i="3"/>
  <c r="BL51" i="3"/>
  <c r="G52" i="3"/>
  <c r="G54" i="3"/>
  <c r="BL55" i="3"/>
  <c r="G56" i="3"/>
  <c r="G61" i="3"/>
  <c r="G65" i="3"/>
  <c r="BL66" i="3"/>
  <c r="G67" i="3"/>
  <c r="BA68" i="3"/>
  <c r="AZ68" i="3" s="1"/>
  <c r="BL68" i="3"/>
  <c r="BL70" i="3"/>
  <c r="G71" i="3"/>
  <c r="BL72" i="3"/>
  <c r="G73" i="3"/>
  <c r="G75" i="3"/>
  <c r="G79" i="3"/>
  <c r="G81" i="3"/>
  <c r="BL82" i="3"/>
  <c r="G83" i="3"/>
  <c r="BL84" i="3"/>
  <c r="G85" i="3"/>
  <c r="BL86" i="3"/>
  <c r="G87" i="3"/>
  <c r="G89" i="3"/>
  <c r="BA91" i="3"/>
  <c r="BL91" i="3"/>
  <c r="BL92" i="3"/>
  <c r="G93" i="3"/>
  <c r="BL94" i="3"/>
  <c r="G95" i="3"/>
  <c r="BL97" i="3"/>
  <c r="G98" i="3"/>
  <c r="BA100" i="3"/>
  <c r="BL100" i="3"/>
  <c r="BA102" i="3"/>
  <c r="AZ102" i="3" s="1"/>
  <c r="BL102" i="3"/>
  <c r="BL103" i="3"/>
  <c r="G104" i="3"/>
  <c r="G106" i="3"/>
  <c r="BL107" i="3"/>
  <c r="G108" i="3"/>
  <c r="G110" i="3"/>
  <c r="G112" i="3"/>
  <c r="W21" i="34"/>
  <c r="S21" i="33"/>
  <c r="U21" i="34"/>
  <c r="S21" i="34"/>
  <c r="T57" i="71"/>
  <c r="T41" i="71"/>
  <c r="D64" i="71"/>
  <c r="D31" i="71"/>
  <c r="Y29" i="71"/>
  <c r="Z29" i="71" s="1"/>
  <c r="B40" i="71"/>
  <c r="B41" i="71" s="1"/>
  <c r="S41" i="71" s="1"/>
  <c r="B68" i="71"/>
  <c r="B67" i="71" s="1"/>
  <c r="X32" i="71"/>
  <c r="AI10" i="43"/>
  <c r="F11" i="12"/>
  <c r="C23" i="12" s="1"/>
  <c r="D22" i="15"/>
  <c r="G22" i="11"/>
  <c r="G22" i="68"/>
  <c r="C40" i="11"/>
  <c r="AC27" i="35"/>
  <c r="C18" i="9"/>
  <c r="D18" i="9" s="1"/>
  <c r="AC25" i="33"/>
  <c r="AC33" i="21"/>
  <c r="AC23" i="21"/>
  <c r="W23" i="21"/>
  <c r="AA23" i="21"/>
  <c r="W10" i="33"/>
  <c r="AB19" i="33"/>
  <c r="U19" i="33"/>
  <c r="U23" i="33"/>
  <c r="AB25" i="33"/>
  <c r="S36" i="33"/>
  <c r="AB41" i="33"/>
  <c r="AB10" i="37"/>
  <c r="AB21" i="39"/>
  <c r="U45" i="21"/>
  <c r="AB45" i="21"/>
  <c r="D121" i="9"/>
  <c r="D7" i="52" s="1"/>
  <c r="D6" i="52"/>
  <c r="AZ14" i="3"/>
  <c r="AA39" i="34"/>
  <c r="AA20" i="36"/>
  <c r="S20" i="36"/>
  <c r="AA32" i="37"/>
  <c r="S32" i="37"/>
  <c r="AA23" i="39"/>
  <c r="S23" i="39"/>
  <c r="AA30" i="40"/>
  <c r="S30" i="40"/>
  <c r="W34" i="33"/>
  <c r="AC34" i="33"/>
  <c r="E10" i="6"/>
  <c r="AZ351" i="3"/>
  <c r="AB37" i="39"/>
  <c r="U37" i="39"/>
  <c r="AB46" i="21"/>
  <c r="U46" i="21"/>
  <c r="AC44" i="33"/>
  <c r="W44" i="33"/>
  <c r="AC46" i="33"/>
  <c r="W46" i="33"/>
  <c r="W13" i="34"/>
  <c r="AC13" i="34"/>
  <c r="AB23" i="36"/>
  <c r="U23" i="36"/>
  <c r="S36" i="39"/>
  <c r="AA36" i="39"/>
  <c r="D126" i="9"/>
  <c r="D19" i="53"/>
  <c r="W15" i="21"/>
  <c r="AC15" i="21"/>
  <c r="S19" i="33"/>
  <c r="AA19" i="33"/>
  <c r="AC33" i="34"/>
  <c r="W33" i="34"/>
  <c r="S39" i="39"/>
  <c r="AA39" i="39"/>
  <c r="S40" i="34"/>
  <c r="AA40" i="34"/>
  <c r="U34" i="33"/>
  <c r="AB34" i="33"/>
  <c r="AC14" i="21"/>
  <c r="W14" i="21"/>
  <c r="U28" i="21"/>
  <c r="AB28" i="21"/>
  <c r="AB30" i="21"/>
  <c r="U30" i="21"/>
  <c r="W11" i="36"/>
  <c r="AC11" i="36"/>
  <c r="AZ581" i="3"/>
  <c r="BL586" i="3"/>
  <c r="AZ586" i="3" s="1"/>
  <c r="BL550" i="3"/>
  <c r="BA550" i="3"/>
  <c r="AZ550" i="3" s="1"/>
  <c r="E19" i="69"/>
  <c r="E19" i="85"/>
  <c r="M8" i="1"/>
  <c r="AP8" i="1"/>
  <c r="M18" i="82"/>
  <c r="B118" i="82" s="1"/>
  <c r="D38" i="43"/>
  <c r="D78" i="9"/>
  <c r="D93" i="82"/>
  <c r="D78" i="82"/>
  <c r="C12" i="43"/>
  <c r="AZ438" i="3"/>
  <c r="AB25" i="21"/>
  <c r="W32" i="37"/>
  <c r="U24" i="35"/>
  <c r="AB31" i="40"/>
  <c r="S42" i="33"/>
  <c r="AA29" i="33"/>
  <c r="S27" i="33"/>
  <c r="S13" i="34"/>
  <c r="AA45" i="34"/>
  <c r="AB35" i="34"/>
  <c r="S37" i="37"/>
  <c r="AC29" i="37"/>
  <c r="AB13" i="35"/>
  <c r="AA26" i="36"/>
  <c r="U14" i="39"/>
  <c r="AA12" i="39"/>
  <c r="S28" i="40"/>
  <c r="C77" i="82"/>
  <c r="C74" i="82" s="1"/>
  <c r="AA12" i="40"/>
  <c r="W37" i="37"/>
  <c r="BQ5" i="3"/>
  <c r="F28" i="6" s="1"/>
  <c r="AZ379" i="3"/>
  <c r="AZ345" i="3"/>
  <c r="AZ318" i="3"/>
  <c r="AZ372" i="3"/>
  <c r="AZ337" i="3"/>
  <c r="AZ320" i="3"/>
  <c r="AZ305" i="3"/>
  <c r="AZ376" i="3"/>
  <c r="AZ362" i="3"/>
  <c r="AZ341" i="3"/>
  <c r="AZ309" i="3"/>
  <c r="W35" i="40"/>
  <c r="AB33" i="40"/>
  <c r="H5" i="3"/>
  <c r="AB38" i="21"/>
  <c r="AC31" i="33"/>
  <c r="W37" i="34"/>
  <c r="W47" i="34"/>
  <c r="AA12" i="21"/>
  <c r="AZ511" i="3"/>
  <c r="AZ519" i="3"/>
  <c r="AZ569" i="3"/>
  <c r="AZ577" i="3"/>
  <c r="AZ495" i="3"/>
  <c r="AZ513" i="3"/>
  <c r="AZ517" i="3"/>
  <c r="AZ567" i="3"/>
  <c r="AZ571" i="3"/>
  <c r="AZ575" i="3"/>
  <c r="AZ579" i="3"/>
  <c r="AZ568" i="3"/>
  <c r="AZ576" i="3"/>
  <c r="U36" i="39"/>
  <c r="W29" i="33"/>
  <c r="S45" i="33"/>
  <c r="AC30" i="34"/>
  <c r="W31" i="34"/>
  <c r="AA13" i="35"/>
  <c r="F25" i="35"/>
  <c r="H46" i="33"/>
  <c r="J14" i="33"/>
  <c r="F11" i="36"/>
  <c r="H11" i="36"/>
  <c r="J31" i="21"/>
  <c r="H26" i="33"/>
  <c r="F46" i="21"/>
  <c r="J46" i="21"/>
  <c r="J30" i="21"/>
  <c r="F30" i="21"/>
  <c r="J28" i="21"/>
  <c r="F28" i="21"/>
  <c r="H14" i="21"/>
  <c r="F14" i="21"/>
  <c r="AA38" i="34"/>
  <c r="S41" i="33"/>
  <c r="AB23" i="34"/>
  <c r="AB42" i="34"/>
  <c r="AC11" i="40"/>
  <c r="W40" i="33"/>
  <c r="S26" i="33"/>
  <c r="S9" i="34"/>
  <c r="S10" i="37"/>
  <c r="AC8" i="35"/>
  <c r="H14" i="35"/>
  <c r="AB14" i="35" s="1"/>
  <c r="H16" i="35"/>
  <c r="F23" i="35"/>
  <c r="AA23" i="35" s="1"/>
  <c r="F12" i="36"/>
  <c r="J34" i="36"/>
  <c r="AB12" i="36"/>
  <c r="AC12" i="34"/>
  <c r="U34" i="34"/>
  <c r="U31" i="36"/>
  <c r="U9" i="36"/>
  <c r="W8" i="36"/>
  <c r="U30" i="37"/>
  <c r="J36" i="39"/>
  <c r="J45" i="39"/>
  <c r="BL585" i="3"/>
  <c r="AZ585" i="3" s="1"/>
  <c r="H12" i="33"/>
  <c r="J23" i="35"/>
  <c r="F9" i="36"/>
  <c r="F44" i="39"/>
  <c r="G578" i="3"/>
  <c r="G562" i="3"/>
  <c r="BA551" i="3"/>
  <c r="AZ551" i="3" s="1"/>
  <c r="BL548" i="3"/>
  <c r="AZ548" i="3" s="1"/>
  <c r="M20" i="15"/>
  <c r="F34" i="78"/>
  <c r="F62" i="78" s="1"/>
  <c r="M20" i="78"/>
  <c r="BL15" i="3"/>
  <c r="AZ15" i="3" s="1"/>
  <c r="G41" i="69"/>
  <c r="G41" i="85"/>
  <c r="G22" i="85"/>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AZ420" i="3" s="1"/>
  <c r="BA421" i="3"/>
  <c r="AZ421" i="3" s="1"/>
  <c r="BA422" i="3"/>
  <c r="BL422" i="3"/>
  <c r="BA423" i="3"/>
  <c r="AZ423" i="3" s="1"/>
  <c r="G426" i="3"/>
  <c r="BL426" i="3"/>
  <c r="AZ426" i="3" s="1"/>
  <c r="BA427" i="3"/>
  <c r="AZ427" i="3" s="1"/>
  <c r="BA428" i="3"/>
  <c r="AZ428" i="3" s="1"/>
  <c r="G431" i="3"/>
  <c r="BL431" i="3"/>
  <c r="AZ431" i="3" s="1"/>
  <c r="BA432" i="3"/>
  <c r="AZ432" i="3" s="1"/>
  <c r="BA433" i="3"/>
  <c r="AZ433" i="3" s="1"/>
  <c r="BA434" i="3"/>
  <c r="BL434" i="3"/>
  <c r="G436" i="3"/>
  <c r="BL436" i="3"/>
  <c r="AZ436" i="3" s="1"/>
  <c r="AZ451" i="3"/>
  <c r="AZ458" i="3"/>
  <c r="AZ462" i="3"/>
  <c r="BA440" i="3"/>
  <c r="AZ440" i="3" s="1"/>
  <c r="BA441" i="3"/>
  <c r="AZ441" i="3" s="1"/>
  <c r="BA442" i="3"/>
  <c r="BL442" i="3"/>
  <c r="G444" i="3"/>
  <c r="BL444" i="3"/>
  <c r="BA445" i="3"/>
  <c r="AZ445" i="3" s="1"/>
  <c r="BA446" i="3"/>
  <c r="BL446" i="3"/>
  <c r="BA447" i="3"/>
  <c r="AZ447" i="3" s="1"/>
  <c r="G450" i="3"/>
  <c r="G454" i="3"/>
  <c r="G456" i="3"/>
  <c r="BL456" i="3"/>
  <c r="AZ456" i="3" s="1"/>
  <c r="BA459" i="3"/>
  <c r="BL459" i="3"/>
  <c r="BA460" i="3"/>
  <c r="AZ460" i="3" s="1"/>
  <c r="G465" i="3"/>
  <c r="G466" i="3"/>
  <c r="BL466" i="3"/>
  <c r="BA467" i="3"/>
  <c r="AZ467" i="3" s="1"/>
  <c r="G472" i="3"/>
  <c r="BL472" i="3"/>
  <c r="AZ472" i="3" s="1"/>
  <c r="G475" i="3"/>
  <c r="BL475" i="3"/>
  <c r="BA476" i="3"/>
  <c r="AZ476" i="3" s="1"/>
  <c r="BA477" i="3"/>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BA392" i="3"/>
  <c r="AZ392" i="3" s="1"/>
  <c r="G395" i="3"/>
  <c r="BL395" i="3"/>
  <c r="AZ395" i="3" s="1"/>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G265" i="3"/>
  <c r="G266" i="3"/>
  <c r="G267" i="3"/>
  <c r="BL267" i="3"/>
  <c r="BL269" i="3"/>
  <c r="AZ269" i="3" s="1"/>
  <c r="G271" i="3"/>
  <c r="G272" i="3"/>
  <c r="BL272" i="3"/>
  <c r="G275" i="3"/>
  <c r="G276" i="3"/>
  <c r="BL276" i="3"/>
  <c r="AZ276" i="3" s="1"/>
  <c r="BA277" i="3"/>
  <c r="AZ277" i="3" s="1"/>
  <c r="BL279" i="3"/>
  <c r="AZ279" i="3" s="1"/>
  <c r="BL281" i="3"/>
  <c r="AZ281" i="3" s="1"/>
  <c r="G283" i="3"/>
  <c r="G284" i="3"/>
  <c r="BL284" i="3"/>
  <c r="G286" i="3"/>
  <c r="G287" i="3"/>
  <c r="G288" i="3"/>
  <c r="G289" i="3"/>
  <c r="BL289" i="3"/>
  <c r="G291" i="3"/>
  <c r="G292" i="3"/>
  <c r="BL292" i="3"/>
  <c r="BA293" i="3"/>
  <c r="AZ293" i="3" s="1"/>
  <c r="BL295" i="3"/>
  <c r="AZ295" i="3" s="1"/>
  <c r="BL297" i="3"/>
  <c r="AZ297"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G154" i="3"/>
  <c r="G155" i="3"/>
  <c r="BL157" i="3"/>
  <c r="AZ157" i="3" s="1"/>
  <c r="G160" i="3"/>
  <c r="BL162" i="3"/>
  <c r="AZ162" i="3" s="1"/>
  <c r="BA164" i="3"/>
  <c r="AZ164" i="3" s="1"/>
  <c r="G166" i="3"/>
  <c r="G167" i="3"/>
  <c r="G170" i="3"/>
  <c r="G171" i="3"/>
  <c r="BL173" i="3"/>
  <c r="AZ173" i="3" s="1"/>
  <c r="P62" i="71"/>
  <c r="P63" i="71"/>
  <c r="G176" i="3"/>
  <c r="BL178" i="3"/>
  <c r="AZ178" i="3" s="1"/>
  <c r="BA180" i="3"/>
  <c r="AZ180" i="3" s="1"/>
  <c r="G182" i="3"/>
  <c r="G183" i="3"/>
  <c r="BA185" i="3"/>
  <c r="AZ185" i="3" s="1"/>
  <c r="BA186" i="3"/>
  <c r="AZ186" i="3" s="1"/>
  <c r="BL187" i="3"/>
  <c r="AZ187" i="3" s="1"/>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BA90" i="3"/>
  <c r="AZ90" i="3" s="1"/>
  <c r="BA92" i="3"/>
  <c r="AZ92" i="3" s="1"/>
  <c r="BA93" i="3"/>
  <c r="AZ93" i="3" s="1"/>
  <c r="BA94" i="3"/>
  <c r="AZ94" i="3" s="1"/>
  <c r="BA96" i="3"/>
  <c r="AZ96" i="3" s="1"/>
  <c r="BA97" i="3"/>
  <c r="AZ97" i="3" s="1"/>
  <c r="BA99" i="3"/>
  <c r="AZ99" i="3" s="1"/>
  <c r="BL101" i="3"/>
  <c r="AZ101" i="3" s="1"/>
  <c r="BA103" i="3"/>
  <c r="AZ103" i="3" s="1"/>
  <c r="BL105" i="3"/>
  <c r="AZ105" i="3" s="1"/>
  <c r="BA106" i="3"/>
  <c r="AZ106" i="3" s="1"/>
  <c r="BA107" i="3"/>
  <c r="AZ107" i="3" s="1"/>
  <c r="BL109" i="3"/>
  <c r="AZ109" i="3" s="1"/>
  <c r="BL111" i="3"/>
  <c r="AZ111" i="3" s="1"/>
  <c r="BA112" i="3"/>
  <c r="AZ112" i="3" s="1"/>
  <c r="G12" i="1"/>
  <c r="G10" i="1"/>
  <c r="S29" i="39"/>
  <c r="C29" i="39"/>
  <c r="B55" i="43"/>
  <c r="C79" i="71"/>
  <c r="D79" i="71" s="1"/>
  <c r="X23" i="71"/>
  <c r="E33" i="71"/>
  <c r="U33" i="71" s="1"/>
  <c r="U37" i="71"/>
  <c r="M19" i="43"/>
  <c r="C25" i="71"/>
  <c r="Y23" i="71"/>
  <c r="Z23" i="71" s="1"/>
  <c r="Y25" i="71"/>
  <c r="Z25" i="71" s="1"/>
  <c r="X22" i="71"/>
  <c r="X24" i="71"/>
  <c r="AA26" i="71"/>
  <c r="AB29" i="71"/>
  <c r="AA31" i="71"/>
  <c r="AB33" i="71"/>
  <c r="B64" i="71"/>
  <c r="G1" i="85"/>
  <c r="G1" i="78"/>
  <c r="M47" i="82"/>
  <c r="J51" i="78"/>
  <c r="C51" i="10"/>
  <c r="A118" i="82"/>
  <c r="A2" i="82"/>
  <c r="W21" i="33"/>
  <c r="E25" i="71"/>
  <c r="AA3" i="71"/>
  <c r="AA23" i="71"/>
  <c r="AA25" i="71"/>
  <c r="AB27" i="71"/>
  <c r="AB23" i="71"/>
  <c r="X28" i="71"/>
  <c r="X29" i="71"/>
  <c r="AB31" i="71"/>
  <c r="AB30" i="71"/>
  <c r="AA30" i="71"/>
  <c r="AA32" i="71"/>
  <c r="AB35" i="71"/>
  <c r="AB34" i="71"/>
  <c r="P65" i="71"/>
  <c r="U65" i="71"/>
  <c r="E72" i="71"/>
  <c r="E71" i="71" s="1"/>
  <c r="AB22" i="71"/>
  <c r="AB26" i="71"/>
  <c r="X26" i="71"/>
  <c r="AB28" i="71"/>
  <c r="F32" i="71"/>
  <c r="F33" i="71" s="1"/>
  <c r="V33" i="71" s="1"/>
  <c r="X30" i="71"/>
  <c r="AB32" i="71"/>
  <c r="F36" i="71"/>
  <c r="F37" i="71" s="1"/>
  <c r="V37" i="71" s="1"/>
  <c r="AE10" i="43"/>
  <c r="N56" i="82"/>
  <c r="K56" i="82"/>
  <c r="M56" i="82"/>
  <c r="J56" i="82"/>
  <c r="J57" i="82" s="1"/>
  <c r="J59" i="82" s="1"/>
  <c r="J61" i="82" s="1"/>
  <c r="V21" i="71"/>
  <c r="G8" i="1"/>
  <c r="I20" i="43"/>
  <c r="J10" i="35"/>
  <c r="W10" i="35" s="1"/>
  <c r="O6" i="1"/>
  <c r="O7" i="1"/>
  <c r="P7" i="1" s="1"/>
  <c r="G7" i="1"/>
  <c r="G6" i="1"/>
  <c r="M17" i="43"/>
  <c r="L17" i="43"/>
  <c r="C6" i="43"/>
  <c r="F37" i="43"/>
  <c r="F34" i="43"/>
  <c r="F33" i="43"/>
  <c r="H17" i="43"/>
  <c r="J17" i="43"/>
  <c r="I17" i="43"/>
  <c r="D17" i="43"/>
  <c r="H73" i="43"/>
  <c r="G73" i="43" s="1"/>
  <c r="H78" i="43"/>
  <c r="G78" i="43" s="1"/>
  <c r="H72" i="43"/>
  <c r="G72" i="43" s="1"/>
  <c r="H76" i="43"/>
  <c r="G76" i="43" s="1"/>
  <c r="H77" i="43"/>
  <c r="G77" i="43" s="1"/>
  <c r="H70" i="43"/>
  <c r="G70" i="43" s="1"/>
  <c r="H74" i="43"/>
  <c r="G74" i="43" s="1"/>
  <c r="C36" i="69"/>
  <c r="A2" i="9"/>
  <c r="A118" i="9"/>
  <c r="U35" i="35"/>
  <c r="S31" i="35"/>
  <c r="AC31" i="35"/>
  <c r="AA33" i="35"/>
  <c r="U36" i="35"/>
  <c r="F36" i="35"/>
  <c r="S36" i="35" s="1"/>
  <c r="H32" i="35"/>
  <c r="AB10" i="35"/>
  <c r="AA10" i="35"/>
  <c r="G87" i="35"/>
  <c r="J29" i="35" s="1"/>
  <c r="U23" i="35"/>
  <c r="AB23" i="35"/>
  <c r="W25" i="35"/>
  <c r="AC25" i="35"/>
  <c r="AB27" i="35"/>
  <c r="S23" i="35"/>
  <c r="F20" i="35"/>
  <c r="H25" i="35"/>
  <c r="J20" i="35"/>
  <c r="W20" i="35" s="1"/>
  <c r="J32" i="35"/>
  <c r="U31" i="35"/>
  <c r="F32" i="35"/>
  <c r="AA32" i="35" s="1"/>
  <c r="U33" i="35"/>
  <c r="S27" i="35"/>
  <c r="F84" i="35"/>
  <c r="G84" i="35" s="1"/>
  <c r="H84" i="35" s="1"/>
  <c r="I84" i="35" s="1"/>
  <c r="J84" i="35" s="1"/>
  <c r="K84" i="35" s="1"/>
  <c r="L84" i="35" s="1"/>
  <c r="M84" i="35" s="1"/>
  <c r="J28" i="35"/>
  <c r="AC28" i="35" s="1"/>
  <c r="F28" i="35"/>
  <c r="AA28" i="35" s="1"/>
  <c r="H28" i="35"/>
  <c r="U30" i="35"/>
  <c r="W28" i="35"/>
  <c r="AC20" i="35"/>
  <c r="H20" i="35"/>
  <c r="AA16" i="35"/>
  <c r="W16" i="35"/>
  <c r="U22" i="35"/>
  <c r="W22" i="35"/>
  <c r="W35" i="35"/>
  <c r="U18" i="35"/>
  <c r="S18" i="35"/>
  <c r="AC14" i="35"/>
  <c r="U14" i="35"/>
  <c r="W13" i="35"/>
  <c r="AA11" i="35"/>
  <c r="AA12" i="35"/>
  <c r="W11" i="35"/>
  <c r="AB11" i="35"/>
  <c r="F26" i="35"/>
  <c r="J26" i="35"/>
  <c r="H26" i="35"/>
  <c r="K5" i="4"/>
  <c r="B47" i="48" s="1"/>
  <c r="F34" i="15"/>
  <c r="F62" i="15" s="1"/>
  <c r="F34" i="67"/>
  <c r="F62" i="67" s="1"/>
  <c r="B41" i="1"/>
  <c r="D93" i="9"/>
  <c r="C77" i="9"/>
  <c r="C74" i="9" s="1"/>
  <c r="C36" i="11"/>
  <c r="C40" i="69"/>
  <c r="C21" i="69"/>
  <c r="E19" i="11"/>
  <c r="D22" i="67"/>
  <c r="AR10" i="1"/>
  <c r="AQ8" i="1"/>
  <c r="T9" i="1"/>
  <c r="AQ9" i="1"/>
  <c r="AQ13" i="1"/>
  <c r="E11" i="6"/>
  <c r="E61" i="39" s="1"/>
  <c r="E12" i="6"/>
  <c r="E62" i="39" s="1"/>
  <c r="Q16" i="1"/>
  <c r="T8" i="1"/>
  <c r="AR11" i="1"/>
  <c r="T11" i="1"/>
  <c r="T10" i="1"/>
  <c r="E14" i="6"/>
  <c r="E64" i="39" s="1"/>
  <c r="E13" i="6"/>
  <c r="E58" i="40" s="1"/>
  <c r="E59" i="40"/>
  <c r="E5" i="6"/>
  <c r="E65" i="39"/>
  <c r="F27" i="69"/>
  <c r="F45" i="69" s="1"/>
  <c r="H16" i="1"/>
  <c r="E29" i="6"/>
  <c r="K15" i="1" s="1"/>
  <c r="F30" i="6"/>
  <c r="F31" i="6" s="1"/>
  <c r="O8" i="1"/>
  <c r="P8" i="1" s="1"/>
  <c r="C13" i="12" s="1"/>
  <c r="AZ13" i="3"/>
  <c r="H71" i="43"/>
  <c r="G71" i="43" s="1"/>
  <c r="H88" i="43"/>
  <c r="H56" i="43"/>
  <c r="H84" i="43"/>
  <c r="H85" i="43"/>
  <c r="H82" i="43"/>
  <c r="H53" i="43"/>
  <c r="H87" i="43"/>
  <c r="H86" i="43"/>
  <c r="G13" i="1"/>
  <c r="C70" i="39"/>
  <c r="D68" i="39"/>
  <c r="I14" i="74"/>
  <c r="B8" i="74" s="1"/>
  <c r="D127" i="9"/>
  <c r="D13" i="52" s="1"/>
  <c r="D12" i="52"/>
  <c r="L68" i="9"/>
  <c r="M68" i="9" s="1"/>
  <c r="L65" i="9"/>
  <c r="M65" i="9" s="1"/>
  <c r="L66" i="9"/>
  <c r="M66" i="9" s="1"/>
  <c r="L64" i="9"/>
  <c r="M64" i="9" s="1"/>
  <c r="L63" i="9"/>
  <c r="M63" i="9" s="1"/>
  <c r="M69" i="9" s="1"/>
  <c r="N69" i="9" s="1"/>
  <c r="L67" i="9"/>
  <c r="M67" i="9" s="1"/>
  <c r="O12" i="1"/>
  <c r="P12" i="1" s="1"/>
  <c r="E28" i="6"/>
  <c r="G30" i="6"/>
  <c r="G31" i="6" s="1"/>
  <c r="G5" i="3"/>
  <c r="B3" i="3" s="1"/>
  <c r="A3" i="3" s="1"/>
  <c r="I4" i="6" s="1"/>
  <c r="G3" i="43" s="1"/>
  <c r="B113" i="43" s="1"/>
  <c r="E12" i="71"/>
  <c r="E11" i="71" s="1"/>
  <c r="E10" i="71" s="1"/>
  <c r="E9" i="71" s="1"/>
  <c r="V13" i="71"/>
  <c r="D17" i="53"/>
  <c r="B36" i="72" s="1"/>
  <c r="D124" i="9"/>
  <c r="P6" i="1"/>
  <c r="AZ557" i="3"/>
  <c r="AA14" i="33"/>
  <c r="AA44" i="33"/>
  <c r="W9" i="34"/>
  <c r="S39" i="37"/>
  <c r="AA39" i="37"/>
  <c r="S12" i="34"/>
  <c r="AA12" i="34"/>
  <c r="E56" i="40"/>
  <c r="U44" i="34"/>
  <c r="AB27" i="36"/>
  <c r="U12" i="39"/>
  <c r="AA27" i="40"/>
  <c r="AB27" i="40"/>
  <c r="AA34" i="33"/>
  <c r="H75" i="43"/>
  <c r="G75" i="43" s="1"/>
  <c r="AC11" i="39"/>
  <c r="AC34" i="35"/>
  <c r="W34" i="35"/>
  <c r="S38" i="40"/>
  <c r="AA38" i="40"/>
  <c r="H9" i="34"/>
  <c r="F34" i="35"/>
  <c r="H34" i="35"/>
  <c r="J36" i="35"/>
  <c r="AZ398" i="3"/>
  <c r="AZ405" i="3"/>
  <c r="AZ407" i="3"/>
  <c r="AZ410" i="3"/>
  <c r="AZ415" i="3"/>
  <c r="AZ461" i="3"/>
  <c r="AZ463" i="3"/>
  <c r="AZ468" i="3"/>
  <c r="AZ470" i="3"/>
  <c r="AZ479" i="3"/>
  <c r="AZ485" i="3"/>
  <c r="AZ385" i="3"/>
  <c r="AZ230" i="3"/>
  <c r="AZ242" i="3"/>
  <c r="AZ246" i="3"/>
  <c r="S34" i="21"/>
  <c r="S9" i="33"/>
  <c r="H12" i="21"/>
  <c r="J12" i="21"/>
  <c r="H38" i="40"/>
  <c r="J38" i="40"/>
  <c r="H39" i="40"/>
  <c r="AZ424" i="3"/>
  <c r="AZ429" i="3"/>
  <c r="AZ439" i="3"/>
  <c r="AZ444" i="3"/>
  <c r="AZ466" i="3"/>
  <c r="AZ475" i="3"/>
  <c r="AZ489" i="3"/>
  <c r="AZ316" i="3"/>
  <c r="AZ211" i="3"/>
  <c r="AZ219" i="3"/>
  <c r="AZ236" i="3"/>
  <c r="AZ252" i="3"/>
  <c r="AZ267" i="3"/>
  <c r="AZ272" i="3"/>
  <c r="AZ284" i="3"/>
  <c r="AZ289" i="3"/>
  <c r="AZ292" i="3"/>
  <c r="AZ118" i="3"/>
  <c r="AZ121" i="3"/>
  <c r="AZ134" i="3"/>
  <c r="AZ137" i="3"/>
  <c r="AZ145" i="3"/>
  <c r="AZ177" i="3"/>
  <c r="AZ18" i="3"/>
  <c r="AZ23" i="3"/>
  <c r="AZ27" i="3"/>
  <c r="AZ56" i="3"/>
  <c r="AZ300" i="3"/>
  <c r="AZ48" i="3"/>
  <c r="AZ60" i="3"/>
  <c r="AZ64" i="3"/>
  <c r="AZ78" i="3"/>
  <c r="F3" i="35"/>
  <c r="AZ91" i="3"/>
  <c r="AZ95" i="3"/>
  <c r="AZ98" i="3"/>
  <c r="AZ100" i="3"/>
  <c r="AZ104" i="3"/>
  <c r="C52" i="71"/>
  <c r="D51" i="71"/>
  <c r="M100" i="43"/>
  <c r="I100" i="43"/>
  <c r="E100" i="43"/>
  <c r="D100" i="43"/>
  <c r="C40" i="68"/>
  <c r="C21" i="68"/>
  <c r="B66" i="43"/>
  <c r="F27" i="71"/>
  <c r="F28" i="71" s="1"/>
  <c r="F29" i="71" s="1"/>
  <c r="V29" i="71" s="1"/>
  <c r="Y6" i="71"/>
  <c r="Z6" i="71" s="1"/>
  <c r="Y7" i="71"/>
  <c r="Z7" i="71" s="1"/>
  <c r="Y36" i="71"/>
  <c r="Z36" i="71" s="1"/>
  <c r="V69" i="71"/>
  <c r="F68" i="71"/>
  <c r="F67" i="71" s="1"/>
  <c r="AA5" i="71"/>
  <c r="AB5" i="71"/>
  <c r="X5" i="71"/>
  <c r="Y5" i="71"/>
  <c r="Z5" i="71" s="1"/>
  <c r="AB24" i="71"/>
  <c r="S25" i="71"/>
  <c r="AA6" i="71"/>
  <c r="AA7" i="71"/>
  <c r="AA36" i="71"/>
  <c r="AA34" i="71"/>
  <c r="V65" i="71"/>
  <c r="F64" i="71"/>
  <c r="Z12" i="43"/>
  <c r="Z10" i="43"/>
  <c r="AD12" i="43"/>
  <c r="AD10" i="43"/>
  <c r="AH12" i="43"/>
  <c r="AH10" i="43"/>
  <c r="Y18" i="71"/>
  <c r="Z18" i="71" s="1"/>
  <c r="AB18" i="71"/>
  <c r="X18" i="71"/>
  <c r="Y15" i="71"/>
  <c r="Z15" i="71" s="1"/>
  <c r="X14" i="71"/>
  <c r="Y14" i="71"/>
  <c r="Z14" i="71" s="1"/>
  <c r="AA14" i="71"/>
  <c r="AB15" i="71"/>
  <c r="Y11" i="71"/>
  <c r="Z11" i="71" s="1"/>
  <c r="X6" i="71"/>
  <c r="X7" i="71"/>
  <c r="AB7" i="71"/>
  <c r="AB6" i="71"/>
  <c r="AF10" i="43"/>
  <c r="AC12" i="43"/>
  <c r="AC10" i="43"/>
  <c r="AG12" i="43"/>
  <c r="AG10" i="43"/>
  <c r="X21" i="71"/>
  <c r="Y21" i="71"/>
  <c r="Z21" i="71" s="1"/>
  <c r="AA19" i="71"/>
  <c r="X19" i="71"/>
  <c r="AA18" i="71"/>
  <c r="X15" i="71"/>
  <c r="AA15" i="71"/>
  <c r="X11" i="71"/>
  <c r="AA9" i="71"/>
  <c r="AA21" i="71"/>
  <c r="AB21" i="71"/>
  <c r="B21" i="71"/>
  <c r="C21" i="71"/>
  <c r="Y20" i="71"/>
  <c r="Z20" i="71" s="1"/>
  <c r="Y19" i="71"/>
  <c r="Z19" i="71" s="1"/>
  <c r="AA20" i="71"/>
  <c r="AB20" i="71"/>
  <c r="AB12" i="71"/>
  <c r="AB14" i="71"/>
  <c r="AB9" i="71"/>
  <c r="AB11" i="71"/>
  <c r="Y9" i="71"/>
  <c r="Z9" i="71" s="1"/>
  <c r="Y10" i="71"/>
  <c r="Z10" i="71" s="1"/>
  <c r="X8" i="71"/>
  <c r="X12" i="71"/>
  <c r="AA12" i="71"/>
  <c r="AB8" i="71"/>
  <c r="AB10" i="71"/>
  <c r="Y8" i="71"/>
  <c r="Z8" i="71" s="1"/>
  <c r="X9" i="71"/>
  <c r="X10" i="71"/>
  <c r="AA8" i="71"/>
  <c r="AA10" i="71"/>
  <c r="AA11" i="7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K1" i="73"/>
  <c r="B20" i="31"/>
  <c r="B21" i="31" s="1"/>
  <c r="I1" i="73"/>
  <c r="B39" i="1" s="1"/>
  <c r="F65" i="67"/>
  <c r="B12" i="70"/>
  <c r="M7" i="15"/>
  <c r="F50" i="15"/>
  <c r="F51" i="15"/>
  <c r="F69" i="67"/>
  <c r="B11" i="70"/>
  <c r="B8" i="70"/>
  <c r="F66" i="15"/>
  <c r="Q71" i="67"/>
  <c r="F64" i="15"/>
  <c r="F70" i="67"/>
  <c r="C27" i="67"/>
  <c r="B9" i="70"/>
  <c r="B13" i="70"/>
  <c r="M7" i="67"/>
  <c r="F50" i="67"/>
  <c r="F68" i="67"/>
  <c r="F64" i="67"/>
  <c r="F68" i="15"/>
  <c r="D7" i="73"/>
  <c r="L48" i="67"/>
  <c r="F42" i="15"/>
  <c r="M21" i="67"/>
  <c r="F26" i="15"/>
  <c r="M9" i="15"/>
  <c r="F43" i="15"/>
  <c r="F16" i="15"/>
  <c r="M29" i="67"/>
  <c r="F16" i="67"/>
  <c r="M26" i="15"/>
  <c r="F6" i="15"/>
  <c r="F27" i="68"/>
  <c r="M8" i="15"/>
  <c r="M28" i="67"/>
  <c r="M22" i="15"/>
  <c r="M24" i="67"/>
  <c r="M23" i="15"/>
  <c r="C76" i="15"/>
  <c r="F13" i="15"/>
  <c r="F38" i="67"/>
  <c r="F8" i="67"/>
  <c r="L48" i="15"/>
  <c r="L47" i="15"/>
  <c r="F35" i="67"/>
  <c r="M8" i="67"/>
  <c r="J15" i="67"/>
  <c r="D5" i="73"/>
  <c r="G1" i="73" s="1"/>
  <c r="D6" i="73"/>
  <c r="C36" i="68"/>
  <c r="F6" i="67"/>
  <c r="F43" i="67"/>
  <c r="L47" i="67"/>
  <c r="F37" i="15"/>
  <c r="M26" i="67"/>
  <c r="D29" i="71" l="1"/>
  <c r="T29" i="71"/>
  <c r="D33" i="71"/>
  <c r="T33" i="71"/>
  <c r="AB31" i="39"/>
  <c r="U31" i="39"/>
  <c r="H7" i="36"/>
  <c r="F7" i="34"/>
  <c r="AZ477" i="3"/>
  <c r="AZ459" i="3"/>
  <c r="AZ442" i="3"/>
  <c r="AZ434" i="3"/>
  <c r="AZ418" i="3"/>
  <c r="AZ174" i="3"/>
  <c r="AZ161" i="3"/>
  <c r="AZ273" i="3"/>
  <c r="AZ268" i="3"/>
  <c r="AZ237" i="3"/>
  <c r="AZ209" i="3"/>
  <c r="AZ487" i="3"/>
  <c r="AZ437" i="3"/>
  <c r="AC23" i="36"/>
  <c r="W23" i="36"/>
  <c r="S45" i="39"/>
  <c r="AA45" i="39"/>
  <c r="Q71" i="15"/>
  <c r="C6" i="15"/>
  <c r="J57" i="15"/>
  <c r="J55" i="15" s="1"/>
  <c r="J58" i="15" s="1"/>
  <c r="Q50" i="15" s="1"/>
  <c r="J53" i="15"/>
  <c r="L56" i="15" s="1"/>
  <c r="I54" i="15"/>
  <c r="F51" i="67"/>
  <c r="C49" i="67" s="1"/>
  <c r="F66" i="67"/>
  <c r="J20" i="67"/>
  <c r="N59" i="15"/>
  <c r="M59" i="15"/>
  <c r="L59" i="15"/>
  <c r="Q74" i="15" s="1"/>
  <c r="L58" i="15"/>
  <c r="Q60" i="15" s="1"/>
  <c r="C6" i="67"/>
  <c r="J57" i="67"/>
  <c r="J55" i="67" s="1"/>
  <c r="J58" i="67" s="1"/>
  <c r="Q50" i="67" s="1"/>
  <c r="I54" i="67"/>
  <c r="J53" i="67"/>
  <c r="F1" i="67" s="1"/>
  <c r="L56" i="67"/>
  <c r="C27" i="15"/>
  <c r="F71" i="15"/>
  <c r="F63" i="67"/>
  <c r="C62" i="67" s="1"/>
  <c r="C34" i="67"/>
  <c r="F71" i="67"/>
  <c r="L59" i="67"/>
  <c r="Q61" i="67" s="1"/>
  <c r="M59" i="67"/>
  <c r="N59" i="67"/>
  <c r="L58" i="67"/>
  <c r="Q60" i="67" s="1"/>
  <c r="F65" i="15"/>
  <c r="M71" i="43"/>
  <c r="N71" i="43" s="1"/>
  <c r="K71" i="43"/>
  <c r="J22" i="43"/>
  <c r="AG11" i="43"/>
  <c r="AG13" i="43" s="1"/>
  <c r="Z7" i="43"/>
  <c r="AH11" i="43"/>
  <c r="AH13" i="43" s="1"/>
  <c r="I101" i="43"/>
  <c r="H22" i="43"/>
  <c r="F101" i="43"/>
  <c r="Y11" i="43"/>
  <c r="Y13" i="43" s="1"/>
  <c r="AE11" i="43"/>
  <c r="AE13" i="43" s="1"/>
  <c r="AD11" i="43"/>
  <c r="AD13" i="43" s="1"/>
  <c r="AJ11" i="43"/>
  <c r="AJ13" i="43" s="1"/>
  <c r="M101" i="43"/>
  <c r="M104" i="43" s="1"/>
  <c r="L101" i="43"/>
  <c r="J101" i="43"/>
  <c r="J106" i="43" s="1"/>
  <c r="G101" i="43"/>
  <c r="K101" i="43"/>
  <c r="K107" i="43" s="1"/>
  <c r="F30" i="85"/>
  <c r="F53" i="82"/>
  <c r="F48" i="82"/>
  <c r="O52" i="82" s="1"/>
  <c r="D68" i="82"/>
  <c r="F54" i="82"/>
  <c r="F52" i="82"/>
  <c r="F32" i="78"/>
  <c r="F60" i="78" s="1"/>
  <c r="F28" i="78"/>
  <c r="C28" i="78" s="1"/>
  <c r="M18" i="78"/>
  <c r="K74" i="43"/>
  <c r="M74" i="43"/>
  <c r="N74" i="43" s="1"/>
  <c r="M77" i="43"/>
  <c r="N77" i="43" s="1"/>
  <c r="K77" i="43"/>
  <c r="K72" i="43"/>
  <c r="M72" i="43"/>
  <c r="N72" i="43" s="1"/>
  <c r="M73" i="43"/>
  <c r="N73" i="43" s="1"/>
  <c r="K73" i="43"/>
  <c r="J73" i="43" s="1"/>
  <c r="B63" i="71"/>
  <c r="N64" i="71"/>
  <c r="AA9" i="36"/>
  <c r="S9" i="36"/>
  <c r="U12" i="33"/>
  <c r="AB12" i="33"/>
  <c r="W45" i="39"/>
  <c r="AC45" i="39"/>
  <c r="AA12" i="36"/>
  <c r="S12" i="36"/>
  <c r="U16" i="35"/>
  <c r="AB16" i="35"/>
  <c r="S14" i="21"/>
  <c r="AA14" i="21"/>
  <c r="S28" i="21"/>
  <c r="AA28" i="21"/>
  <c r="AA30" i="21"/>
  <c r="S30" i="21"/>
  <c r="W46" i="21"/>
  <c r="AC46" i="21"/>
  <c r="U26" i="33"/>
  <c r="AB26" i="33"/>
  <c r="U11" i="36"/>
  <c r="AB11" i="36"/>
  <c r="W14" i="33"/>
  <c r="AC14" i="33"/>
  <c r="S25" i="35"/>
  <c r="AA25" i="35"/>
  <c r="J6" i="15"/>
  <c r="J6" i="67"/>
  <c r="K75" i="43"/>
  <c r="J75" i="43" s="1"/>
  <c r="D75" i="43" s="1"/>
  <c r="M75" i="43"/>
  <c r="N75" i="43" s="1"/>
  <c r="AC11" i="43"/>
  <c r="AI11" i="43"/>
  <c r="AI13" i="43" s="1"/>
  <c r="AB11" i="43"/>
  <c r="AB13" i="43" s="1"/>
  <c r="G22" i="43"/>
  <c r="D101" i="43"/>
  <c r="E22" i="43"/>
  <c r="F22" i="43"/>
  <c r="AA11" i="43"/>
  <c r="AA13" i="43" s="1"/>
  <c r="Z11" i="43"/>
  <c r="AF11" i="43"/>
  <c r="AF13" i="43" s="1"/>
  <c r="E101" i="43"/>
  <c r="E104" i="43" s="1"/>
  <c r="H101" i="43"/>
  <c r="H106" i="43" s="1"/>
  <c r="N104" i="46"/>
  <c r="C101" i="43"/>
  <c r="C106" i="43" s="1"/>
  <c r="N101" i="43"/>
  <c r="N103" i="43" s="1"/>
  <c r="E63" i="39"/>
  <c r="E66" i="39" s="1"/>
  <c r="E57" i="40"/>
  <c r="M70" i="43"/>
  <c r="N70" i="43" s="1"/>
  <c r="K70" i="43"/>
  <c r="M76" i="43"/>
  <c r="N76" i="43" s="1"/>
  <c r="K76" i="43"/>
  <c r="K78" i="43"/>
  <c r="J78" i="43" s="1"/>
  <c r="M78" i="43"/>
  <c r="N78" i="43" s="1"/>
  <c r="E24" i="71"/>
  <c r="E23" i="71" s="1"/>
  <c r="V25" i="71"/>
  <c r="C24" i="71"/>
  <c r="T25" i="71"/>
  <c r="D25" i="71"/>
  <c r="U25" i="71" s="1"/>
  <c r="AZ446" i="3"/>
  <c r="AZ5" i="3" s="1"/>
  <c r="AZ422" i="3"/>
  <c r="BL5" i="3"/>
  <c r="S44" i="39"/>
  <c r="AA44" i="39"/>
  <c r="AC23" i="35"/>
  <c r="W23" i="35"/>
  <c r="AC36" i="39"/>
  <c r="W36" i="39"/>
  <c r="W34" i="36"/>
  <c r="AC34" i="36"/>
  <c r="U14" i="21"/>
  <c r="AB14" i="21"/>
  <c r="AC28" i="21"/>
  <c r="W28" i="21"/>
  <c r="AC30" i="21"/>
  <c r="W30" i="21"/>
  <c r="S46" i="21"/>
  <c r="AA46" i="21"/>
  <c r="AC31" i="21"/>
  <c r="W31" i="21"/>
  <c r="AA11" i="36"/>
  <c r="S11" i="36"/>
  <c r="AB46" i="33"/>
  <c r="U46" i="33"/>
  <c r="D1" i="43"/>
  <c r="H38" i="43"/>
  <c r="B38" i="72"/>
  <c r="D20" i="53"/>
  <c r="B40" i="72" s="1"/>
  <c r="BA5" i="3"/>
  <c r="E27" i="6" s="1"/>
  <c r="AC10" i="35"/>
  <c r="C19" i="43"/>
  <c r="G16" i="1"/>
  <c r="F10" i="39" s="1"/>
  <c r="AA10" i="39" s="1"/>
  <c r="G17" i="43"/>
  <c r="C16" i="43" s="1"/>
  <c r="C5" i="43" s="1"/>
  <c r="D22" i="43"/>
  <c r="F27" i="11"/>
  <c r="AA36" i="35"/>
  <c r="AB32" i="35"/>
  <c r="U32" i="35"/>
  <c r="AC32" i="35"/>
  <c r="W32" i="35"/>
  <c r="AB25" i="35"/>
  <c r="U25" i="35"/>
  <c r="W29" i="35"/>
  <c r="AC29" i="35"/>
  <c r="S32" i="35"/>
  <c r="AA20" i="35"/>
  <c r="S20" i="35"/>
  <c r="H87" i="35"/>
  <c r="I87" i="35" s="1"/>
  <c r="J87" i="35" s="1"/>
  <c r="K87" i="35" s="1"/>
  <c r="L87" i="35" s="1"/>
  <c r="M87" i="35" s="1"/>
  <c r="H29" i="35"/>
  <c r="F29" i="35"/>
  <c r="AB28" i="35"/>
  <c r="U28" i="35"/>
  <c r="S28" i="35"/>
  <c r="U20" i="35"/>
  <c r="AB20" i="35"/>
  <c r="AC26" i="35"/>
  <c r="W26" i="35"/>
  <c r="AB26" i="35"/>
  <c r="U26" i="35"/>
  <c r="AA26" i="35"/>
  <c r="S26" i="35"/>
  <c r="F11" i="78"/>
  <c r="M11" i="78"/>
  <c r="F48" i="9"/>
  <c r="O52" i="9" s="1"/>
  <c r="F30" i="11"/>
  <c r="F31" i="12"/>
  <c r="C31" i="12" s="1"/>
  <c r="M18" i="67"/>
  <c r="F30" i="69"/>
  <c r="M18" i="15"/>
  <c r="D68" i="9"/>
  <c r="F53" i="9"/>
  <c r="F30" i="68"/>
  <c r="F28" i="67"/>
  <c r="C28" i="67" s="1"/>
  <c r="F52" i="9"/>
  <c r="F32" i="67"/>
  <c r="F60" i="67" s="1"/>
  <c r="F32" i="15"/>
  <c r="F60" i="15" s="1"/>
  <c r="F28" i="15"/>
  <c r="C28" i="15" s="1"/>
  <c r="F54" i="9"/>
  <c r="F28" i="12"/>
  <c r="C29" i="12" s="1"/>
  <c r="D28" i="12" s="1"/>
  <c r="C47" i="69"/>
  <c r="D45" i="69" s="1"/>
  <c r="AC13" i="43"/>
  <c r="Z13" i="43"/>
  <c r="C29" i="68"/>
  <c r="D27" i="68" s="1"/>
  <c r="F45" i="68"/>
  <c r="E16" i="6"/>
  <c r="D9" i="69"/>
  <c r="C9" i="69" s="1"/>
  <c r="D9" i="11"/>
  <c r="C9" i="11" s="1"/>
  <c r="D19" i="12"/>
  <c r="C19" i="12" s="1"/>
  <c r="C47" i="68"/>
  <c r="D45" i="68" s="1"/>
  <c r="C29" i="69"/>
  <c r="D27" i="69" s="1"/>
  <c r="I109" i="43"/>
  <c r="I102" i="43"/>
  <c r="I106" i="43"/>
  <c r="I103" i="43"/>
  <c r="I107" i="43"/>
  <c r="I104" i="43"/>
  <c r="I105" i="43"/>
  <c r="F104" i="43"/>
  <c r="F107" i="43"/>
  <c r="F106" i="43"/>
  <c r="F103" i="43"/>
  <c r="F102" i="43"/>
  <c r="F105" i="43"/>
  <c r="F109" i="43"/>
  <c r="E107" i="43"/>
  <c r="E109" i="43"/>
  <c r="E106" i="43"/>
  <c r="H107" i="43"/>
  <c r="H105" i="43"/>
  <c r="H102" i="43"/>
  <c r="H109" i="43"/>
  <c r="D109" i="43"/>
  <c r="D103" i="43"/>
  <c r="D104" i="43"/>
  <c r="D107" i="43"/>
  <c r="D105" i="43"/>
  <c r="D102" i="43"/>
  <c r="D106" i="43"/>
  <c r="M109" i="43"/>
  <c r="M107" i="43"/>
  <c r="M102" i="43"/>
  <c r="M106" i="43"/>
  <c r="L109" i="43"/>
  <c r="L102" i="43"/>
  <c r="L105" i="43"/>
  <c r="L104" i="43"/>
  <c r="L107" i="43"/>
  <c r="L106" i="43"/>
  <c r="L103" i="43"/>
  <c r="J103" i="43"/>
  <c r="J104" i="43"/>
  <c r="J107" i="43"/>
  <c r="J109" i="43"/>
  <c r="G103" i="43"/>
  <c r="G109" i="43"/>
  <c r="G105" i="43"/>
  <c r="G102" i="43"/>
  <c r="G107" i="43"/>
  <c r="G104" i="43"/>
  <c r="G106" i="43"/>
  <c r="K103" i="43"/>
  <c r="K104" i="43"/>
  <c r="K102" i="43"/>
  <c r="K109" i="43"/>
  <c r="C105" i="43"/>
  <c r="C109" i="43"/>
  <c r="C107" i="43"/>
  <c r="N102" i="43"/>
  <c r="N106" i="43"/>
  <c r="N105" i="43"/>
  <c r="N109" i="43"/>
  <c r="D117" i="43"/>
  <c r="E117" i="43" s="1"/>
  <c r="F117" i="43" s="1"/>
  <c r="G117" i="43" s="1"/>
  <c r="H117" i="43" s="1"/>
  <c r="I115" i="43"/>
  <c r="J115" i="43" s="1"/>
  <c r="K115" i="43" s="1"/>
  <c r="L115" i="43" s="1"/>
  <c r="M115" i="43" s="1"/>
  <c r="I118" i="43"/>
  <c r="J118" i="43" s="1"/>
  <c r="K118" i="43" s="1"/>
  <c r="L118" i="43" s="1"/>
  <c r="M118" i="43" s="1"/>
  <c r="D118" i="43"/>
  <c r="E118" i="43" s="1"/>
  <c r="F118" i="43" s="1"/>
  <c r="B117" i="43"/>
  <c r="C117" i="43" s="1"/>
  <c r="D115" i="43"/>
  <c r="E115" i="43" s="1"/>
  <c r="F115" i="43" s="1"/>
  <c r="G115" i="43" s="1"/>
  <c r="H115" i="43" s="1"/>
  <c r="B115" i="43"/>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C47" i="11"/>
  <c r="D45" i="11" s="1"/>
  <c r="C29" i="11"/>
  <c r="D27" i="11" s="1"/>
  <c r="D70" i="39"/>
  <c r="E68" i="39"/>
  <c r="C20" i="71"/>
  <c r="D21" i="71"/>
  <c r="U21" i="71" s="1"/>
  <c r="T21" i="71"/>
  <c r="AC38" i="40"/>
  <c r="W38" i="40"/>
  <c r="AC12" i="21"/>
  <c r="W12" i="21"/>
  <c r="AB34" i="35"/>
  <c r="U34" i="35"/>
  <c r="U9" i="34"/>
  <c r="AB9" i="34"/>
  <c r="D10" i="52"/>
  <c r="D125" i="9"/>
  <c r="D11" i="52" s="1"/>
  <c r="H14" i="74"/>
  <c r="B7" i="74"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 i="3"/>
  <c r="E175" i="3"/>
  <c r="E319" i="3"/>
  <c r="E530" i="3"/>
  <c r="E501" i="3"/>
  <c r="E343" i="3"/>
  <c r="E153" i="3"/>
  <c r="E305" i="3"/>
  <c r="E426" i="3"/>
  <c r="E508"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B20" i="71"/>
  <c r="B19" i="71" s="1"/>
  <c r="B18" i="71" s="1"/>
  <c r="B17" i="71" s="1"/>
  <c r="S21" i="71"/>
  <c r="Q64" i="71"/>
  <c r="F63" i="71"/>
  <c r="C53" i="71"/>
  <c r="D52" i="71"/>
  <c r="AB39" i="40"/>
  <c r="U39" i="40"/>
  <c r="U38" i="40"/>
  <c r="AB38" i="40"/>
  <c r="AB12" i="21"/>
  <c r="U12" i="21"/>
  <c r="AC36" i="35"/>
  <c r="W36" i="35"/>
  <c r="AA34" i="35"/>
  <c r="S34" i="35"/>
  <c r="E8" i="71"/>
  <c r="E7" i="71" s="1"/>
  <c r="E6" i="71" s="1"/>
  <c r="E5" i="71" s="1"/>
  <c r="V9" i="71"/>
  <c r="E557" i="3"/>
  <c r="K21" i="6"/>
  <c r="M21" i="6" s="1"/>
  <c r="I21" i="6" s="1"/>
  <c r="S21" i="6" s="1"/>
  <c r="K22" i="6"/>
  <c r="M22" i="6" s="1"/>
  <c r="I22" i="6" s="1"/>
  <c r="S22" i="6" s="1"/>
  <c r="K25" i="6"/>
  <c r="M25" i="6" s="1"/>
  <c r="I25" i="6" s="1"/>
  <c r="S25" i="6" s="1"/>
  <c r="K23" i="6"/>
  <c r="M23" i="6" s="1"/>
  <c r="I23" i="6" s="1"/>
  <c r="S23" i="6" s="1"/>
  <c r="E30" i="6"/>
  <c r="E31" i="6" s="1"/>
  <c r="K20" i="6"/>
  <c r="K24" i="6"/>
  <c r="M24" i="6" s="1"/>
  <c r="I24" i="6" s="1"/>
  <c r="S24" i="6" s="1"/>
  <c r="K14" i="1"/>
  <c r="K19" i="6"/>
  <c r="S6" i="1" s="1"/>
  <c r="E6" i="70" s="1"/>
  <c r="K26" i="6"/>
  <c r="M26" i="6" s="1"/>
  <c r="I26" i="6" s="1"/>
  <c r="S26" i="6" s="1"/>
  <c r="F59" i="67"/>
  <c r="H7" i="37"/>
  <c r="AB7" i="37" s="1"/>
  <c r="T42" i="37" s="1"/>
  <c r="G42" i="37" s="1"/>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W7" i="34"/>
  <c r="AC7" i="34"/>
  <c r="V49" i="34" s="1"/>
  <c r="I49" i="34" s="1"/>
  <c r="M17" i="67"/>
  <c r="M17" i="15"/>
  <c r="F59" i="15"/>
  <c r="P24" i="43"/>
  <c r="B66" i="40" s="1"/>
  <c r="P21" i="43"/>
  <c r="P25" i="43"/>
  <c r="P23" i="43"/>
  <c r="B71" i="39" s="1"/>
  <c r="C49" i="15"/>
  <c r="J18" i="15"/>
  <c r="M28" i="43"/>
  <c r="N28" i="43"/>
  <c r="O28" i="43"/>
  <c r="G20" i="43" s="1"/>
  <c r="P28" i="43"/>
  <c r="M11" i="67"/>
  <c r="J10" i="67" s="1"/>
  <c r="F11" i="15"/>
  <c r="M11" i="15"/>
  <c r="F11" i="67"/>
  <c r="M9" i="78"/>
  <c r="C16" i="15"/>
  <c r="C36" i="85"/>
  <c r="M23" i="78"/>
  <c r="J15" i="78"/>
  <c r="M22" i="78"/>
  <c r="C17" i="67"/>
  <c r="D9" i="68"/>
  <c r="F41" i="78"/>
  <c r="F13" i="78"/>
  <c r="F26" i="78"/>
  <c r="F7" i="78"/>
  <c r="C17" i="15"/>
  <c r="M27" i="78"/>
  <c r="F37" i="78"/>
  <c r="M28" i="78"/>
  <c r="F36" i="78"/>
  <c r="L47" i="78"/>
  <c r="M29" i="78"/>
  <c r="M24" i="78"/>
  <c r="F6" i="78"/>
  <c r="F41" i="15"/>
  <c r="M8" i="78"/>
  <c r="C16" i="67"/>
  <c r="D10" i="85"/>
  <c r="F40" i="78"/>
  <c r="F43" i="78"/>
  <c r="F8" i="78"/>
  <c r="M26" i="78"/>
  <c r="F9" i="78"/>
  <c r="M6" i="78"/>
  <c r="C76" i="78"/>
  <c r="F16" i="78"/>
  <c r="F38" i="78"/>
  <c r="C14" i="67"/>
  <c r="D9" i="85"/>
  <c r="F42" i="78"/>
  <c r="F27" i="85"/>
  <c r="L48" i="78"/>
  <c r="C32" i="67" l="1"/>
  <c r="N104" i="43"/>
  <c r="N107" i="43"/>
  <c r="E103" i="43"/>
  <c r="E102" i="43"/>
  <c r="E105" i="43"/>
  <c r="J18" i="67"/>
  <c r="C32" i="15"/>
  <c r="Q74" i="67"/>
  <c r="J10" i="15"/>
  <c r="J5" i="15" s="1"/>
  <c r="J24" i="15" s="1"/>
  <c r="Q61" i="15"/>
  <c r="Q52" i="67"/>
  <c r="Q73" i="15"/>
  <c r="Q52" i="15"/>
  <c r="Q73" i="67"/>
  <c r="C10" i="85"/>
  <c r="F69" i="78"/>
  <c r="F65" i="78"/>
  <c r="F71" i="78"/>
  <c r="Q71" i="78"/>
  <c r="C6" i="78"/>
  <c r="C32" i="78" s="1"/>
  <c r="F64" i="78"/>
  <c r="F66" i="78"/>
  <c r="C27" i="78"/>
  <c r="C47" i="85"/>
  <c r="D45" i="85" s="1"/>
  <c r="F45" i="85"/>
  <c r="C29" i="85"/>
  <c r="D27" i="85" s="1"/>
  <c r="D19" i="85"/>
  <c r="C9" i="85"/>
  <c r="I54" i="78"/>
  <c r="L56" i="78"/>
  <c r="J57" i="78"/>
  <c r="J55" i="78" s="1"/>
  <c r="J58" i="78" s="1"/>
  <c r="Q50" i="78" s="1"/>
  <c r="J53" i="78"/>
  <c r="F68" i="78"/>
  <c r="F51" i="78"/>
  <c r="M7" i="78"/>
  <c r="J6" i="78" s="1"/>
  <c r="J18" i="78" s="1"/>
  <c r="F50" i="78"/>
  <c r="L59" i="78"/>
  <c r="N59" i="78"/>
  <c r="M59" i="78"/>
  <c r="L58" i="78"/>
  <c r="C15" i="67"/>
  <c r="C18" i="67"/>
  <c r="E3" i="6"/>
  <c r="AY6" i="3"/>
  <c r="J77" i="43"/>
  <c r="D77" i="43"/>
  <c r="F48" i="85"/>
  <c r="C48" i="85"/>
  <c r="C30" i="85"/>
  <c r="J71" i="43"/>
  <c r="D71" i="43"/>
  <c r="F1" i="15"/>
  <c r="J5" i="67"/>
  <c r="J26" i="67" s="1"/>
  <c r="J29" i="67" s="1"/>
  <c r="E41" i="43"/>
  <c r="C41" i="43" s="1"/>
  <c r="C20" i="43"/>
  <c r="C103" i="43"/>
  <c r="C104" i="43"/>
  <c r="C102" i="43"/>
  <c r="K105" i="43"/>
  <c r="K106" i="43"/>
  <c r="J102" i="43"/>
  <c r="J105" i="43"/>
  <c r="M103" i="43"/>
  <c r="M105" i="43"/>
  <c r="H104" i="43"/>
  <c r="H103" i="43"/>
  <c r="J10" i="78"/>
  <c r="J5" i="78" s="1"/>
  <c r="J24" i="78" s="1"/>
  <c r="C23" i="71"/>
  <c r="D23" i="71" s="1"/>
  <c r="D24" i="71"/>
  <c r="J76" i="43"/>
  <c r="D76" i="43"/>
  <c r="J70" i="43"/>
  <c r="D70" i="43"/>
  <c r="N62" i="71"/>
  <c r="N63" i="71"/>
  <c r="J72" i="43"/>
  <c r="D72" i="43"/>
  <c r="J74" i="43"/>
  <c r="D74" i="43"/>
  <c r="F24" i="78"/>
  <c r="C24" i="78" s="1"/>
  <c r="F22" i="85"/>
  <c r="C9" i="68"/>
  <c r="F10" i="40"/>
  <c r="S10" i="40" s="1"/>
  <c r="H10" i="40"/>
  <c r="U10" i="40" s="1"/>
  <c r="J10" i="40"/>
  <c r="AC10" i="40" s="1"/>
  <c r="J10" i="39"/>
  <c r="AC10" i="39" s="1"/>
  <c r="H10" i="39"/>
  <c r="U10" i="39" s="1"/>
  <c r="D5" i="43"/>
  <c r="S5" i="43"/>
  <c r="C23" i="43"/>
  <c r="C21" i="43" s="1"/>
  <c r="S7" i="43"/>
  <c r="S3" i="43"/>
  <c r="S2" i="43"/>
  <c r="S4" i="43"/>
  <c r="S6" i="43"/>
  <c r="F69" i="15"/>
  <c r="S29" i="35"/>
  <c r="AA29" i="35"/>
  <c r="AB29" i="35"/>
  <c r="U29" i="35"/>
  <c r="C53" i="78"/>
  <c r="C30" i="11"/>
  <c r="C48" i="11"/>
  <c r="F48" i="68"/>
  <c r="C48" i="68"/>
  <c r="C30" i="68"/>
  <c r="C30" i="69"/>
  <c r="C48" i="69"/>
  <c r="F48" i="69"/>
  <c r="AQ6" i="1"/>
  <c r="T6" i="1"/>
  <c r="AR6" i="1"/>
  <c r="M20" i="6"/>
  <c r="I20" i="6" s="1"/>
  <c r="S7" i="1"/>
  <c r="AC6" i="3"/>
  <c r="H6" i="3"/>
  <c r="C115" i="43"/>
  <c r="D113" i="43" s="1"/>
  <c r="S10" i="39"/>
  <c r="W10" i="40"/>
  <c r="F68" i="39"/>
  <c r="E70" i="39"/>
  <c r="U7" i="37"/>
  <c r="M14" i="1"/>
  <c r="K16" i="1"/>
  <c r="C34" i="69"/>
  <c r="Q63" i="71"/>
  <c r="Q62" i="71"/>
  <c r="D3" i="21"/>
  <c r="D19" i="11"/>
  <c r="C19" i="11" s="1"/>
  <c r="C17" i="4"/>
  <c r="B4" i="52" s="1"/>
  <c r="B43" i="72" s="1"/>
  <c r="D3" i="37"/>
  <c r="D3" i="34"/>
  <c r="D3" i="33"/>
  <c r="E6" i="6"/>
  <c r="D37" i="11"/>
  <c r="C37" i="11" s="1"/>
  <c r="D14" i="12"/>
  <c r="M18" i="9"/>
  <c r="B118" i="9" s="1"/>
  <c r="B14" i="74" s="1"/>
  <c r="B1" i="74" s="1"/>
  <c r="C8" i="74" s="1"/>
  <c r="M19" i="6"/>
  <c r="K27" i="6"/>
  <c r="D53" i="71"/>
  <c r="T53" i="71"/>
  <c r="B16" i="71"/>
  <c r="B15" i="71" s="1"/>
  <c r="B14" i="71" s="1"/>
  <c r="B13" i="71" s="1"/>
  <c r="S17" i="71"/>
  <c r="C19" i="71"/>
  <c r="D20"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53" i="15"/>
  <c r="C48" i="15" s="1"/>
  <c r="C10" i="15"/>
  <c r="C5" i="15" s="1"/>
  <c r="F25" i="12"/>
  <c r="F22" i="69"/>
  <c r="F41" i="69" s="1"/>
  <c r="F24" i="67"/>
  <c r="C24" i="67" s="1"/>
  <c r="F22" i="11"/>
  <c r="F22" i="68"/>
  <c r="F24" i="15"/>
  <c r="C24" i="15" s="1"/>
  <c r="C14" i="15"/>
  <c r="C17" i="78"/>
  <c r="C16" i="78"/>
  <c r="C34" i="85"/>
  <c r="E6" i="3" l="1"/>
  <c r="J26" i="15"/>
  <c r="J29" i="15" s="1"/>
  <c r="J24" i="67"/>
  <c r="C19" i="67"/>
  <c r="C20" i="67" s="1"/>
  <c r="C26" i="67" s="1"/>
  <c r="C10" i="78"/>
  <c r="C5" i="78" s="1"/>
  <c r="C38" i="78" s="1"/>
  <c r="J26" i="78"/>
  <c r="J29" i="78" s="1"/>
  <c r="C15" i="15"/>
  <c r="C18" i="15"/>
  <c r="C38" i="85"/>
  <c r="C35" i="85"/>
  <c r="S16" i="1"/>
  <c r="E7" i="70"/>
  <c r="E2" i="70" s="1"/>
  <c r="E70" i="43"/>
  <c r="B68" i="43" s="1"/>
  <c r="C24" i="43" s="1"/>
  <c r="T2" i="43" s="1"/>
  <c r="V2" i="43" s="1"/>
  <c r="Q73" i="78"/>
  <c r="Q60" i="78"/>
  <c r="C19" i="85"/>
  <c r="C24" i="85" s="1"/>
  <c r="D37" i="85"/>
  <c r="C37" i="85" s="1"/>
  <c r="S20" i="6"/>
  <c r="L18" i="82"/>
  <c r="T5" i="43"/>
  <c r="V5" i="43" s="1"/>
  <c r="C37" i="43"/>
  <c r="E37" i="43" s="1"/>
  <c r="Q61" i="78"/>
  <c r="Q74" i="78"/>
  <c r="C49" i="78"/>
  <c r="C48" i="78" s="1"/>
  <c r="F1" i="78"/>
  <c r="Q52" i="78"/>
  <c r="AA10" i="40"/>
  <c r="AB10" i="39"/>
  <c r="F41" i="85"/>
  <c r="C26" i="85"/>
  <c r="D22" i="85" s="1"/>
  <c r="C44" i="85"/>
  <c r="D41" i="85" s="1"/>
  <c r="AB10" i="40"/>
  <c r="W10" i="39"/>
  <c r="G37" i="43"/>
  <c r="I37" i="43" s="1"/>
  <c r="C35" i="43"/>
  <c r="AR7" i="1"/>
  <c r="T7" i="1"/>
  <c r="AQ7" i="1"/>
  <c r="F70" i="39"/>
  <c r="G68" i="39"/>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M27" i="6"/>
  <c r="I19" i="6"/>
  <c r="L18" i="9" s="1"/>
  <c r="D17" i="12"/>
  <c r="C17" i="12" s="1"/>
  <c r="C14" i="12"/>
  <c r="D10" i="69"/>
  <c r="D10" i="11"/>
  <c r="C10" i="11" s="1"/>
  <c r="D20" i="12"/>
  <c r="C20" i="12" s="1"/>
  <c r="C18" i="12" s="1"/>
  <c r="C35" i="69"/>
  <c r="C38" i="69"/>
  <c r="O14" i="1"/>
  <c r="O16" i="1" s="1"/>
  <c r="M16" i="1"/>
  <c r="D19" i="71"/>
  <c r="C18" i="71"/>
  <c r="B12" i="71"/>
  <c r="B11" i="71" s="1"/>
  <c r="B10" i="71" s="1"/>
  <c r="B9" i="71" s="1"/>
  <c r="S13" i="71"/>
  <c r="C20" i="11"/>
  <c r="C28" i="11" s="1"/>
  <c r="C27" i="11" s="1"/>
  <c r="C7" i="74"/>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14" i="78"/>
  <c r="D10" i="68"/>
  <c r="C38" i="43" l="1"/>
  <c r="C34" i="43"/>
  <c r="E34" i="43" s="1"/>
  <c r="T14" i="43"/>
  <c r="V14" i="43" s="1"/>
  <c r="C23" i="67"/>
  <c r="C29" i="67" s="1"/>
  <c r="C33" i="67" s="1"/>
  <c r="C31" i="67" s="1"/>
  <c r="C19" i="15"/>
  <c r="C20" i="15" s="1"/>
  <c r="C26" i="15" s="1"/>
  <c r="C33" i="85"/>
  <c r="C42" i="85" s="1"/>
  <c r="C15" i="78"/>
  <c r="C18" i="78"/>
  <c r="C60" i="78"/>
  <c r="C66" i="78"/>
  <c r="T16" i="1"/>
  <c r="T13" i="43"/>
  <c r="V13" i="43" s="1"/>
  <c r="T9" i="43"/>
  <c r="V9" i="43" s="1"/>
  <c r="T11" i="43"/>
  <c r="V11" i="43" s="1"/>
  <c r="T15" i="43"/>
  <c r="V15" i="43" s="1"/>
  <c r="T12" i="43"/>
  <c r="V12" i="43" s="1"/>
  <c r="T3" i="43"/>
  <c r="V3" i="43" s="1"/>
  <c r="M19" i="82"/>
  <c r="C118" i="82" s="1"/>
  <c r="L19" i="82"/>
  <c r="C39" i="43"/>
  <c r="G39" i="43" s="1"/>
  <c r="I39" i="43" s="1"/>
  <c r="C36" i="43"/>
  <c r="E36" i="43" s="1"/>
  <c r="C33" i="43"/>
  <c r="T16" i="43"/>
  <c r="V16" i="43" s="1"/>
  <c r="T8" i="43"/>
  <c r="V8" i="43" s="1"/>
  <c r="T7" i="43"/>
  <c r="V7" i="43" s="1"/>
  <c r="T6" i="43"/>
  <c r="V6" i="43" s="1"/>
  <c r="C29" i="43"/>
  <c r="T4" i="43"/>
  <c r="V4" i="43" s="1"/>
  <c r="T10" i="43"/>
  <c r="V10" i="43" s="1"/>
  <c r="B3" i="36"/>
  <c r="E39" i="43"/>
  <c r="C6" i="85" s="1"/>
  <c r="G36" i="43"/>
  <c r="I36" i="43" s="1"/>
  <c r="E35" i="43"/>
  <c r="G35" i="43"/>
  <c r="I35" i="43" s="1"/>
  <c r="E38" i="43"/>
  <c r="G38" i="43"/>
  <c r="I38" i="43" s="1"/>
  <c r="J59" i="78"/>
  <c r="J60" i="78" s="1"/>
  <c r="C25" i="11"/>
  <c r="C22" i="11" s="1"/>
  <c r="C31" i="11" s="1"/>
  <c r="D16" i="6"/>
  <c r="D30" i="6"/>
  <c r="R20" i="6"/>
  <c r="R7" i="1" s="1"/>
  <c r="H68" i="39"/>
  <c r="G70" i="39"/>
  <c r="B8" i="71"/>
  <c r="B7" i="71" s="1"/>
  <c r="B6" i="71" s="1"/>
  <c r="B5" i="71" s="1"/>
  <c r="S9" i="71"/>
  <c r="N16" i="1"/>
  <c r="F50" i="85" s="1"/>
  <c r="L16" i="1"/>
  <c r="C34" i="11"/>
  <c r="P14" i="1"/>
  <c r="P16" i="1" s="1"/>
  <c r="C11" i="12" s="1"/>
  <c r="C10" i="68"/>
  <c r="D19" i="68"/>
  <c r="R24" i="6"/>
  <c r="R22" i="6"/>
  <c r="R25" i="6"/>
  <c r="R26" i="6"/>
  <c r="D8" i="74"/>
  <c r="D7" i="74"/>
  <c r="C17" i="71"/>
  <c r="D18" i="71"/>
  <c r="C10" i="69"/>
  <c r="C8" i="69" s="1"/>
  <c r="C5" i="69" s="1"/>
  <c r="D19" i="69"/>
  <c r="S19" i="6"/>
  <c r="S27" i="6" s="1"/>
  <c r="I27" i="6"/>
  <c r="R21" i="6"/>
  <c r="H19" i="6"/>
  <c r="R23" i="6"/>
  <c r="A7" i="51"/>
  <c r="B7" i="72" s="1"/>
  <c r="C4" i="52"/>
  <c r="B45" i="72" s="1"/>
  <c r="A10" i="51"/>
  <c r="B9" i="72" s="1"/>
  <c r="D27" i="6"/>
  <c r="R19" i="6"/>
  <c r="G65" i="40"/>
  <c r="H63" i="40"/>
  <c r="C43" i="37"/>
  <c r="B2" i="37" s="1"/>
  <c r="B3" i="37" s="1"/>
  <c r="C42" i="37"/>
  <c r="I48" i="35"/>
  <c r="C48" i="33"/>
  <c r="C49" i="33"/>
  <c r="B2" i="33" s="1"/>
  <c r="B3" i="33" s="1"/>
  <c r="H58" i="21"/>
  <c r="E47" i="37"/>
  <c r="F47" i="37" s="1"/>
  <c r="E46" i="37"/>
  <c r="F46" i="37" s="1"/>
  <c r="I47" i="37"/>
  <c r="J47" i="37" s="1"/>
  <c r="E53" i="33"/>
  <c r="F53" i="33" s="1"/>
  <c r="E52" i="33"/>
  <c r="F52" i="33" s="1"/>
  <c r="J59" i="15"/>
  <c r="J60" i="15" s="1"/>
  <c r="J59" i="67"/>
  <c r="J60" i="67" s="1"/>
  <c r="M21" i="78"/>
  <c r="C34" i="68"/>
  <c r="F35" i="78"/>
  <c r="G34" i="43" l="1"/>
  <c r="I34" i="43" s="1"/>
  <c r="C36" i="67"/>
  <c r="J19" i="67"/>
  <c r="J17" i="67" s="1"/>
  <c r="Q49" i="67"/>
  <c r="J14" i="67"/>
  <c r="J22" i="67" s="1"/>
  <c r="C57" i="67"/>
  <c r="C61" i="67" s="1"/>
  <c r="C13" i="67"/>
  <c r="C56" i="67" s="1"/>
  <c r="C65" i="67" s="1"/>
  <c r="C19" i="78"/>
  <c r="C20" i="78" s="1"/>
  <c r="C26" i="78" s="1"/>
  <c r="C39" i="85"/>
  <c r="C43" i="85" s="1"/>
  <c r="C41" i="85" s="1"/>
  <c r="C23" i="15"/>
  <c r="C29" i="15" s="1"/>
  <c r="C30" i="43"/>
  <c r="E30" i="43" s="1"/>
  <c r="E29" i="43"/>
  <c r="G33" i="43"/>
  <c r="I33" i="43" s="1"/>
  <c r="E33" i="43"/>
  <c r="C6" i="68"/>
  <c r="C7" i="68"/>
  <c r="C5" i="68" s="1"/>
  <c r="C23" i="68" s="1"/>
  <c r="C27" i="43"/>
  <c r="C26" i="43"/>
  <c r="B2" i="43" s="1"/>
  <c r="F63" i="78"/>
  <c r="C62" i="78" s="1"/>
  <c r="C34" i="78"/>
  <c r="J20" i="78"/>
  <c r="H27" i="6"/>
  <c r="L19" i="9"/>
  <c r="D31" i="6"/>
  <c r="I5" i="6" s="1"/>
  <c r="Q48" i="78"/>
  <c r="R27" i="6"/>
  <c r="R6" i="1"/>
  <c r="I68" i="39"/>
  <c r="H70" i="39"/>
  <c r="I6" i="6"/>
  <c r="C19" i="69"/>
  <c r="C24" i="69" s="1"/>
  <c r="D37" i="69"/>
  <c r="C37" i="69" s="1"/>
  <c r="C33" i="69" s="1"/>
  <c r="C19" i="68"/>
  <c r="D37" i="68"/>
  <c r="C37" i="68" s="1"/>
  <c r="C15" i="12"/>
  <c r="C12" i="12"/>
  <c r="C23" i="69"/>
  <c r="C16" i="71"/>
  <c r="T17" i="71"/>
  <c r="D17" i="71"/>
  <c r="U17" i="71" s="1"/>
  <c r="C35" i="68"/>
  <c r="C38" i="68"/>
  <c r="C38" i="11"/>
  <c r="C35" i="11"/>
  <c r="F50" i="11"/>
  <c r="F50" i="68"/>
  <c r="F50" i="69"/>
  <c r="I63" i="40"/>
  <c r="H65" i="40"/>
  <c r="I58" i="21"/>
  <c r="J58" i="21" s="1"/>
  <c r="K58" i="21" s="1"/>
  <c r="L58" i="21" s="1"/>
  <c r="M58" i="21" s="1"/>
  <c r="N58" i="21" s="1"/>
  <c r="O58" i="21" s="1"/>
  <c r="H7" i="21" s="1"/>
  <c r="F7" i="21"/>
  <c r="J48" i="35"/>
  <c r="Q48" i="15"/>
  <c r="J13" i="67"/>
  <c r="J23" i="67" s="1"/>
  <c r="C59" i="67"/>
  <c r="Q48" i="67"/>
  <c r="F35" i="15"/>
  <c r="E6" i="76"/>
  <c r="B6" i="76"/>
  <c r="M21" i="15"/>
  <c r="C64" i="67" l="1"/>
  <c r="C58" i="67" s="1"/>
  <c r="C67" i="67" s="1"/>
  <c r="C68" i="67" s="1"/>
  <c r="C37" i="67"/>
  <c r="C30" i="67" s="1"/>
  <c r="C39" i="67" s="1"/>
  <c r="C40" i="67" s="1"/>
  <c r="C75" i="67"/>
  <c r="Q70" i="67"/>
  <c r="C46" i="85"/>
  <c r="C45" i="85" s="1"/>
  <c r="C49" i="85" s="1"/>
  <c r="C51" i="85" s="1"/>
  <c r="C23" i="78"/>
  <c r="C29" i="78" s="1"/>
  <c r="J14" i="78" s="1"/>
  <c r="C57" i="15"/>
  <c r="C33" i="15"/>
  <c r="Q49" i="15"/>
  <c r="J14" i="15"/>
  <c r="C36" i="15"/>
  <c r="C13" i="15"/>
  <c r="J19" i="15"/>
  <c r="J7" i="21"/>
  <c r="AC7" i="21" s="1"/>
  <c r="V48" i="21" s="1"/>
  <c r="I48" i="21" s="1"/>
  <c r="C7" i="85"/>
  <c r="C5" i="85" s="1"/>
  <c r="E2" i="76"/>
  <c r="B2" i="76"/>
  <c r="B3" i="43"/>
  <c r="F63" i="15"/>
  <c r="C62" i="15" s="1"/>
  <c r="C34" i="15"/>
  <c r="J20" i="15"/>
  <c r="R16" i="1"/>
  <c r="C16" i="12"/>
  <c r="C21" i="12" s="1"/>
  <c r="C22" i="12" s="1"/>
  <c r="C30" i="12" s="1"/>
  <c r="C28" i="12" s="1"/>
  <c r="I70" i="39"/>
  <c r="J68" i="39"/>
  <c r="C33" i="11"/>
  <c r="C15" i="71"/>
  <c r="D16" i="71"/>
  <c r="C20" i="69"/>
  <c r="C33" i="68"/>
  <c r="C39" i="69"/>
  <c r="C43" i="69" s="1"/>
  <c r="C42" i="69"/>
  <c r="C20" i="68"/>
  <c r="C25" i="68" s="1"/>
  <c r="C24" i="68"/>
  <c r="U7" i="21"/>
  <c r="AB7" i="21"/>
  <c r="T48" i="21" s="1"/>
  <c r="G48" i="21" s="1"/>
  <c r="S7" i="21"/>
  <c r="AA7" i="21"/>
  <c r="R48" i="21" s="1"/>
  <c r="J63" i="40"/>
  <c r="I65" i="40"/>
  <c r="K48" i="35"/>
  <c r="L48" i="35" s="1"/>
  <c r="M48" i="35" s="1"/>
  <c r="N48" i="35" s="1"/>
  <c r="O48" i="35" s="1"/>
  <c r="H7" i="35" s="1"/>
  <c r="J7" i="35"/>
  <c r="W7" i="21"/>
  <c r="J16" i="67"/>
  <c r="J25" i="67" s="1"/>
  <c r="L51" i="67"/>
  <c r="C36" i="78" l="1"/>
  <c r="C80" i="67"/>
  <c r="C79" i="67" s="1"/>
  <c r="Q69" i="67"/>
  <c r="Q68" i="67" s="1"/>
  <c r="J19" i="78"/>
  <c r="J17" i="78" s="1"/>
  <c r="Q49" i="78"/>
  <c r="C33" i="78"/>
  <c r="C31" i="78" s="1"/>
  <c r="C31" i="15"/>
  <c r="C13" i="78"/>
  <c r="C56" i="78" s="1"/>
  <c r="C65" i="78" s="1"/>
  <c r="C57" i="78"/>
  <c r="C61" i="78" s="1"/>
  <c r="C59" i="78" s="1"/>
  <c r="J17" i="15"/>
  <c r="C56" i="15"/>
  <c r="C65" i="15" s="1"/>
  <c r="C37" i="15"/>
  <c r="Q70" i="15"/>
  <c r="C75" i="15"/>
  <c r="J22" i="15"/>
  <c r="J13" i="15"/>
  <c r="J23" i="15" s="1"/>
  <c r="C61" i="15"/>
  <c r="C59" i="15" s="1"/>
  <c r="C64" i="15"/>
  <c r="J22" i="78"/>
  <c r="J13" i="78"/>
  <c r="J23" i="78" s="1"/>
  <c r="C23" i="85"/>
  <c r="C20" i="85"/>
  <c r="C25" i="85" s="1"/>
  <c r="B3" i="76"/>
  <c r="L57" i="78"/>
  <c r="L60" i="78" s="1"/>
  <c r="L46" i="78" s="1"/>
  <c r="C22" i="68"/>
  <c r="C41" i="69"/>
  <c r="C46" i="69"/>
  <c r="C45" i="69" s="1"/>
  <c r="C27" i="12"/>
  <c r="C25" i="12" s="1"/>
  <c r="C32" i="12" s="1"/>
  <c r="B2" i="12" s="1"/>
  <c r="B3" i="12" s="1"/>
  <c r="J70" i="39"/>
  <c r="K68" i="39"/>
  <c r="C28" i="68"/>
  <c r="C27" i="68" s="1"/>
  <c r="C28" i="69"/>
  <c r="C27" i="69" s="1"/>
  <c r="C25" i="69"/>
  <c r="C22" i="69" s="1"/>
  <c r="C14" i="71"/>
  <c r="D15" i="71"/>
  <c r="C39" i="68"/>
  <c r="C42" i="68"/>
  <c r="C39" i="11"/>
  <c r="C42" i="11"/>
  <c r="W7" i="35"/>
  <c r="AC7" i="35"/>
  <c r="V38" i="35" s="1"/>
  <c r="I38" i="35" s="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C75" i="78" l="1"/>
  <c r="C30" i="15"/>
  <c r="C39" i="15" s="1"/>
  <c r="Q70" i="78"/>
  <c r="C37" i="78"/>
  <c r="C30" i="78" s="1"/>
  <c r="C39" i="78" s="1"/>
  <c r="C64" i="78"/>
  <c r="C58" i="78" s="1"/>
  <c r="C67" i="78" s="1"/>
  <c r="C68" i="78" s="1"/>
  <c r="C71" i="78" s="1"/>
  <c r="C40" i="15"/>
  <c r="B2" i="15" s="1"/>
  <c r="J16" i="78"/>
  <c r="J25" i="78" s="1"/>
  <c r="J16" i="15"/>
  <c r="J25" i="15" s="1"/>
  <c r="C58" i="15"/>
  <c r="C67" i="15" s="1"/>
  <c r="C68" i="15" s="1"/>
  <c r="C28" i="85"/>
  <c r="C27" i="85" s="1"/>
  <c r="C22" i="85"/>
  <c r="Q66" i="78"/>
  <c r="Q57" i="78"/>
  <c r="C31" i="68"/>
  <c r="C49" i="69"/>
  <c r="C51" i="69" s="1"/>
  <c r="C31" i="69"/>
  <c r="K70" i="39"/>
  <c r="L68" i="39"/>
  <c r="C46" i="11"/>
  <c r="C45" i="11" s="1"/>
  <c r="C43" i="11"/>
  <c r="C41" i="11" s="1"/>
  <c r="C46" i="68"/>
  <c r="C45" i="68" s="1"/>
  <c r="C43" i="68"/>
  <c r="C41" i="68" s="1"/>
  <c r="D14" i="71"/>
  <c r="C13" i="7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AO6" i="1"/>
  <c r="L51" i="15"/>
  <c r="L51" i="78"/>
  <c r="C80" i="78" l="1"/>
  <c r="C79" i="78" s="1"/>
  <c r="C40" i="78"/>
  <c r="Q47" i="78" s="1"/>
  <c r="Q53" i="78" s="1"/>
  <c r="Q67" i="15"/>
  <c r="Q69" i="15"/>
  <c r="Q68" i="15" s="1"/>
  <c r="C80" i="15"/>
  <c r="C79" i="15" s="1"/>
  <c r="Q67" i="78"/>
  <c r="Q69" i="78"/>
  <c r="Q68" i="78" s="1"/>
  <c r="B6" i="70"/>
  <c r="B3" i="15"/>
  <c r="C71" i="15"/>
  <c r="C46" i="15"/>
  <c r="Q56" i="15"/>
  <c r="Q62" i="15" s="1"/>
  <c r="C43" i="15"/>
  <c r="Q65" i="15"/>
  <c r="Q75" i="15" s="1"/>
  <c r="Q47" i="15"/>
  <c r="Q53" i="15" s="1"/>
  <c r="C83" i="15"/>
  <c r="C82" i="15" s="1"/>
  <c r="C31" i="85"/>
  <c r="C52" i="85" s="1"/>
  <c r="B2" i="85" s="1"/>
  <c r="C52" i="69"/>
  <c r="B2" i="69" s="1"/>
  <c r="B3" i="69" s="1"/>
  <c r="C49" i="11"/>
  <c r="C51" i="11" s="1"/>
  <c r="C52" i="11" s="1"/>
  <c r="B2" i="11" s="1"/>
  <c r="B3" i="11" s="1"/>
  <c r="L70" i="39"/>
  <c r="M68" i="39"/>
  <c r="C49" i="68"/>
  <c r="C51" i="68" s="1"/>
  <c r="C12" i="71"/>
  <c r="T13" i="71"/>
  <c r="D13" i="71"/>
  <c r="U13" i="71" s="1"/>
  <c r="R39" i="35"/>
  <c r="E38" i="35"/>
  <c r="M63" i="40"/>
  <c r="L65" i="40"/>
  <c r="D19" i="9"/>
  <c r="B3" i="85"/>
  <c r="Q56" i="78" l="1"/>
  <c r="Q62" i="78" s="1"/>
  <c r="C83" i="78"/>
  <c r="C82" i="78" s="1"/>
  <c r="C46" i="78"/>
  <c r="Q65" i="78"/>
  <c r="Q75" i="78" s="1"/>
  <c r="C43" i="78"/>
  <c r="C44" i="78" s="1"/>
  <c r="B2" i="78"/>
  <c r="C57" i="85"/>
  <c r="C56" i="85" s="1"/>
  <c r="D21" i="9"/>
  <c r="D102" i="9"/>
  <c r="C57" i="69"/>
  <c r="C56" i="69" s="1"/>
  <c r="N68" i="39"/>
  <c r="M70" i="39"/>
  <c r="D12" i="71"/>
  <c r="C11" i="71"/>
  <c r="C56" i="11"/>
  <c r="C57" i="11" s="1"/>
  <c r="C52" i="68"/>
  <c r="B2" i="68" s="1"/>
  <c r="C39" i="35"/>
  <c r="C38" i="35"/>
  <c r="N63" i="40"/>
  <c r="M65" i="40"/>
  <c r="E43" i="35"/>
  <c r="F43" i="35" s="1"/>
  <c r="E42" i="35"/>
  <c r="F42" i="35" s="1"/>
  <c r="I43" i="35"/>
  <c r="J43" i="35" s="1"/>
  <c r="D19" i="82"/>
  <c r="D20" i="9"/>
  <c r="C19" i="82"/>
  <c r="AO7" i="1"/>
  <c r="B3" i="68"/>
  <c r="D21" i="82" l="1"/>
  <c r="D102" i="82"/>
  <c r="B7" i="70"/>
  <c r="B2" i="70" s="1"/>
  <c r="B3" i="70" s="1"/>
  <c r="B3" i="78"/>
  <c r="D103" i="9"/>
  <c r="C21" i="82"/>
  <c r="C102" i="82"/>
  <c r="D22" i="82"/>
  <c r="G19" i="82"/>
  <c r="G21" i="82" s="1"/>
  <c r="B2" i="35"/>
  <c r="C40" i="35"/>
  <c r="N70" i="39"/>
  <c r="F7" i="39" s="1"/>
  <c r="O68" i="39"/>
  <c r="O70" i="39" s="1"/>
  <c r="C57" i="68"/>
  <c r="C56" i="68" s="1"/>
  <c r="D11" i="71"/>
  <c r="C10" i="71"/>
  <c r="O63" i="40"/>
  <c r="O65" i="40" s="1"/>
  <c r="N65" i="40"/>
  <c r="C19" i="9"/>
  <c r="D20" i="82"/>
  <c r="C20" i="82"/>
  <c r="D103" i="82" l="1"/>
  <c r="G20" i="82"/>
  <c r="F3" i="84" s="1"/>
  <c r="C103" i="82"/>
  <c r="C102" i="9"/>
  <c r="C21" i="9"/>
  <c r="D22" i="9"/>
  <c r="G19" i="9"/>
  <c r="G21" i="9" s="1"/>
  <c r="B3" i="35"/>
  <c r="H7" i="39"/>
  <c r="S7" i="39"/>
  <c r="AA7" i="39"/>
  <c r="R47" i="39" s="1"/>
  <c r="J7" i="39"/>
  <c r="D10" i="71"/>
  <c r="C9" i="71"/>
  <c r="J7" i="40"/>
  <c r="F7" i="40"/>
  <c r="H7" i="40"/>
  <c r="C20" i="9"/>
  <c r="H3" i="84" l="1"/>
  <c r="F22" i="9"/>
  <c r="G3" i="84"/>
  <c r="I20" i="82"/>
  <c r="C32" i="82"/>
  <c r="C35" i="82" s="1"/>
  <c r="C34" i="82" s="1"/>
  <c r="C103" i="9"/>
  <c r="G20" i="9"/>
  <c r="W7" i="39"/>
  <c r="AC7" i="39"/>
  <c r="V47" i="39" s="1"/>
  <c r="I47" i="39" s="1"/>
  <c r="E47" i="39"/>
  <c r="R48" i="39"/>
  <c r="U7" i="39"/>
  <c r="AB7" i="39"/>
  <c r="T47" i="39" s="1"/>
  <c r="G47" i="39" s="1"/>
  <c r="C8" i="71"/>
  <c r="T9" i="71"/>
  <c r="D9" i="71"/>
  <c r="U9" i="71" s="1"/>
  <c r="U7" i="40"/>
  <c r="AB7" i="40"/>
  <c r="T42" i="40" s="1"/>
  <c r="G42" i="40" s="1"/>
  <c r="AA7" i="40"/>
  <c r="R42" i="40" s="1"/>
  <c r="S7" i="40"/>
  <c r="AC7" i="40"/>
  <c r="V42" i="40" s="1"/>
  <c r="I42" i="40" s="1"/>
  <c r="W7" i="40"/>
  <c r="I20" i="9" l="1"/>
  <c r="F2" i="84"/>
  <c r="C32" i="9"/>
  <c r="C35" i="9" s="1"/>
  <c r="C34" i="9" s="1"/>
  <c r="E52" i="39"/>
  <c r="F52" i="39" s="1"/>
  <c r="E51" i="39"/>
  <c r="F51" i="39" s="1"/>
  <c r="G51" i="39"/>
  <c r="H51" i="39" s="1"/>
  <c r="G52" i="39"/>
  <c r="H52" i="39" s="1"/>
  <c r="C48" i="39"/>
  <c r="C47" i="39"/>
  <c r="I51" i="39"/>
  <c r="J51" i="39" s="1"/>
  <c r="I52" i="39"/>
  <c r="J52" i="39" s="1"/>
  <c r="D8" i="71"/>
  <c r="C7" i="71"/>
  <c r="I46" i="40"/>
  <c r="J46" i="40" s="1"/>
  <c r="R43" i="40"/>
  <c r="E42" i="40"/>
  <c r="G47" i="40"/>
  <c r="H47" i="40" s="1"/>
  <c r="G46" i="40"/>
  <c r="H46" i="40" s="1"/>
  <c r="F6" i="84" l="1"/>
  <c r="G2" i="84"/>
  <c r="G5" i="84" s="1"/>
  <c r="H2" i="84"/>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6" i="71"/>
  <c r="D7" i="71"/>
  <c r="C42" i="40"/>
  <c r="C43" i="40"/>
  <c r="E47" i="40"/>
  <c r="F47" i="40" s="1"/>
  <c r="E46" i="40"/>
  <c r="F46" i="40" s="1"/>
  <c r="I47" i="40"/>
  <c r="J47" i="40" s="1"/>
  <c r="G6" i="84" l="1"/>
  <c r="H6" i="84"/>
  <c r="H7" i="84" s="1"/>
  <c r="H4" i="84"/>
  <c r="H5" i="84" s="1"/>
  <c r="D14" i="74"/>
  <c r="C5" i="7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4" i="74" l="1"/>
  <c r="E14" i="74"/>
  <c r="B5" i="74"/>
  <c r="C5" i="74" s="1"/>
  <c r="D5" i="74" l="1"/>
  <c r="B52" i="72" l="1"/>
  <c r="G4" i="52"/>
  <c r="M54" i="82"/>
  <c r="D56" i="82"/>
  <c r="D58" i="82"/>
  <c r="C97" i="82"/>
  <c r="B47" i="72"/>
  <c r="D4" i="52"/>
  <c r="B31" i="72"/>
  <c r="D15" i="53"/>
  <c r="H108" i="9"/>
  <c r="B48" i="72"/>
  <c r="E4" i="52"/>
  <c r="C86" i="82"/>
  <c r="C93" i="82"/>
  <c r="H4" i="52"/>
  <c r="C104" i="9"/>
  <c r="C104" i="82"/>
  <c r="H119" i="82"/>
  <c r="D6" i="74"/>
  <c r="G14" i="74"/>
  <c r="B6" i="74"/>
  <c r="C6" i="74"/>
  <c r="D8" i="52"/>
  <c r="H119" i="9"/>
  <c r="H5" i="52"/>
  <c r="M48" i="9"/>
  <c r="E118" i="9"/>
  <c r="D118" i="9"/>
  <c r="D119" i="9"/>
  <c r="D5" i="52"/>
  <c r="B49" i="72"/>
  <c r="I4" i="52"/>
  <c r="C105" i="9"/>
  <c r="D54" i="9"/>
  <c r="C68" i="9"/>
  <c r="N60" i="9"/>
  <c r="N59" i="9"/>
  <c r="N61" i="9"/>
  <c r="M55" i="82"/>
  <c r="D59" i="82"/>
  <c r="N60" i="82"/>
  <c r="N59" i="82"/>
  <c r="N61" i="82"/>
  <c r="D123" i="82"/>
  <c r="D122" i="82"/>
  <c r="C80" i="82"/>
  <c r="E80" i="82"/>
  <c r="E81" i="82"/>
  <c r="D54" i="82"/>
  <c r="C64" i="82"/>
  <c r="C63" i="82"/>
  <c r="C67" i="82"/>
  <c r="C68" i="82"/>
  <c r="D53" i="9"/>
  <c r="D52" i="9"/>
  <c r="B20" i="72"/>
  <c r="B30" i="72"/>
  <c r="B21" i="72"/>
  <c r="H102" i="9"/>
  <c r="D7" i="53"/>
  <c r="G118" i="82"/>
  <c r="F118" i="82"/>
  <c r="F119" i="82"/>
  <c r="M48" i="82"/>
  <c r="N58" i="9"/>
  <c r="D55" i="9"/>
  <c r="M53" i="9"/>
  <c r="N57" i="9"/>
  <c r="P57" i="9"/>
  <c r="E118" i="82"/>
  <c r="D118" i="82"/>
  <c r="D119" i="82"/>
  <c r="H102" i="82"/>
  <c r="C105" i="82"/>
  <c r="C80" i="9"/>
  <c r="E80" i="9"/>
  <c r="E81" i="9"/>
  <c r="C72" i="9"/>
  <c r="C79" i="9"/>
  <c r="C81" i="9"/>
  <c r="C85" i="82"/>
  <c r="C95" i="82"/>
  <c r="C96" i="82"/>
  <c r="E96" i="82"/>
  <c r="E97" i="82"/>
  <c r="C73" i="82"/>
  <c r="C78" i="82"/>
  <c r="C93" i="9"/>
  <c r="C86" i="9"/>
  <c r="N58" i="82"/>
  <c r="D55" i="82"/>
  <c r="M53" i="82"/>
  <c r="N57" i="82"/>
  <c r="P57" i="82"/>
  <c r="H107" i="82"/>
  <c r="H108" i="82"/>
  <c r="F119" i="9"/>
  <c r="F5" i="52"/>
  <c r="B53" i="72"/>
  <c r="D52" i="82"/>
  <c r="D53" i="82"/>
  <c r="I118" i="82"/>
  <c r="H118" i="82"/>
  <c r="H101" i="82"/>
  <c r="D45" i="82"/>
  <c r="C72" i="82"/>
  <c r="C79" i="82"/>
  <c r="C81" i="82"/>
  <c r="C78" i="9"/>
  <c r="C73" i="9"/>
  <c r="D122" i="9"/>
  <c r="D123" i="9"/>
  <c r="D9" i="52"/>
  <c r="D5" i="53"/>
  <c r="D6" i="53"/>
  <c r="B22" i="72"/>
  <c r="C64" i="9"/>
  <c r="C63" i="9"/>
  <c r="C67" i="9"/>
  <c r="D59" i="9"/>
  <c r="M55" i="9"/>
  <c r="H107" i="9"/>
  <c r="D13" i="53"/>
  <c r="D14" i="53"/>
  <c r="B32" i="72"/>
  <c r="C97" i="9"/>
  <c r="D58" i="9"/>
  <c r="D56" i="9"/>
  <c r="M54" i="9"/>
  <c r="G118" i="9"/>
  <c r="F118" i="9"/>
  <c r="F4" i="52"/>
  <c r="B51" i="72"/>
  <c r="I118" i="9"/>
  <c r="H118" i="9"/>
  <c r="H101" i="9"/>
  <c r="D45" i="9"/>
  <c r="C85" i="9"/>
  <c r="C95" i="9"/>
  <c r="C96" i="9"/>
  <c r="E96" i="9"/>
  <c r="E9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700-000004000000}">
      <text>
        <r>
          <rPr>
            <b/>
            <sz val="12"/>
            <color indexed="81"/>
            <rFont val="宋体"/>
            <family val="3"/>
            <charset val="134"/>
          </rPr>
          <t>所属项目品质或
物业管理</t>
        </r>
      </text>
    </comment>
    <comment ref="B86" authorId="0" shapeId="0" xr:uid="{00000000-0006-0000-1700-000005000000}">
      <text>
        <r>
          <rPr>
            <b/>
            <sz val="12"/>
            <color indexed="81"/>
            <rFont val="宋体"/>
            <family val="3"/>
            <charset val="134"/>
          </rPr>
          <t>所属项目品质</t>
        </r>
      </text>
    </comment>
    <comment ref="B89" authorId="0" shapeId="0" xr:uid="{00000000-0006-0000-1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8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9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9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9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9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A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A00-000004000000}">
      <text>
        <r>
          <rPr>
            <sz val="11"/>
            <color indexed="81"/>
            <rFont val="宋体"/>
            <family val="3"/>
            <charset val="134"/>
          </rPr>
          <t>在建项目均选择“是”</t>
        </r>
      </text>
    </comment>
    <comment ref="F59" authorId="1" shapeId="0" xr:uid="{00000000-0006-0000-1A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A00-000006000000}">
      <text>
        <r>
          <rPr>
            <sz val="10"/>
            <color indexed="81"/>
            <rFont val="宋体"/>
            <family val="3"/>
            <charset val="134"/>
          </rPr>
          <t xml:space="preserve">在建
</t>
        </r>
      </text>
    </comment>
    <comment ref="N59" authorId="0" shapeId="0" xr:uid="{00000000-0006-0000-1A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C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E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26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7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7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D17" authorId="2" shapeId="0" xr:uid="{00000000-0006-0000-28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8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800-000005000000}">
      <text>
        <r>
          <rPr>
            <sz val="9"/>
            <color indexed="81"/>
            <rFont val="宋体"/>
            <family val="3"/>
            <charset val="134"/>
          </rPr>
          <t xml:space="preserve">需在此处填写剩余土地年限
</t>
        </r>
      </text>
    </comment>
    <comment ref="C99" authorId="0" shapeId="0" xr:uid="{00000000-0006-0000-28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8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8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8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800-000012000000}">
      <text>
        <r>
          <rPr>
            <b/>
            <sz val="9"/>
            <color indexed="81"/>
            <rFont val="宋体"/>
            <family val="3"/>
            <charset val="134"/>
          </rPr>
          <t xml:space="preserve">容积率
</t>
        </r>
      </text>
    </comment>
    <comment ref="D101" authorId="0" shapeId="0" xr:uid="{00000000-0006-0000-2800-000013000000}">
      <text>
        <r>
          <rPr>
            <b/>
            <sz val="9"/>
            <color indexed="81"/>
            <rFont val="宋体"/>
            <family val="3"/>
            <charset val="134"/>
          </rPr>
          <t xml:space="preserve">容积率
</t>
        </r>
      </text>
    </comment>
    <comment ref="E101" authorId="0" shapeId="0" xr:uid="{00000000-0006-0000-2800-000014000000}">
      <text>
        <r>
          <rPr>
            <b/>
            <sz val="9"/>
            <color indexed="81"/>
            <rFont val="宋体"/>
            <family val="3"/>
            <charset val="134"/>
          </rPr>
          <t xml:space="preserve">容积率
</t>
        </r>
      </text>
    </comment>
    <comment ref="F101" authorId="0" shapeId="0" xr:uid="{00000000-0006-0000-2800-000015000000}">
      <text>
        <r>
          <rPr>
            <b/>
            <sz val="9"/>
            <color indexed="81"/>
            <rFont val="宋体"/>
            <family val="3"/>
            <charset val="134"/>
          </rPr>
          <t xml:space="preserve">容积率
</t>
        </r>
      </text>
    </comment>
    <comment ref="G101" authorId="0" shapeId="0" xr:uid="{00000000-0006-0000-2800-000016000000}">
      <text>
        <r>
          <rPr>
            <b/>
            <sz val="9"/>
            <color indexed="81"/>
            <rFont val="宋体"/>
            <family val="3"/>
            <charset val="134"/>
          </rPr>
          <t xml:space="preserve">容积率
</t>
        </r>
      </text>
    </comment>
    <comment ref="H101" authorId="0" shapeId="0" xr:uid="{00000000-0006-0000-2800-000017000000}">
      <text>
        <r>
          <rPr>
            <b/>
            <sz val="9"/>
            <color indexed="81"/>
            <rFont val="宋体"/>
            <family val="3"/>
            <charset val="134"/>
          </rPr>
          <t xml:space="preserve">容积率
</t>
        </r>
      </text>
    </comment>
    <comment ref="I101" authorId="0" shapeId="0" xr:uid="{00000000-0006-0000-2800-000018000000}">
      <text>
        <r>
          <rPr>
            <b/>
            <sz val="9"/>
            <color indexed="81"/>
            <rFont val="宋体"/>
            <family val="3"/>
            <charset val="134"/>
          </rPr>
          <t xml:space="preserve">容积率
</t>
        </r>
      </text>
    </comment>
    <comment ref="J101" authorId="0" shapeId="0" xr:uid="{00000000-0006-0000-2800-000019000000}">
      <text>
        <r>
          <rPr>
            <b/>
            <sz val="9"/>
            <color indexed="81"/>
            <rFont val="宋体"/>
            <family val="3"/>
            <charset val="134"/>
          </rPr>
          <t xml:space="preserve">容积率
</t>
        </r>
      </text>
    </comment>
    <comment ref="K101" authorId="0" shapeId="0" xr:uid="{00000000-0006-0000-2800-00001A000000}">
      <text>
        <r>
          <rPr>
            <b/>
            <sz val="9"/>
            <color indexed="81"/>
            <rFont val="宋体"/>
            <family val="3"/>
            <charset val="134"/>
          </rPr>
          <t xml:space="preserve">容积率
</t>
        </r>
      </text>
    </comment>
    <comment ref="L101" authorId="0" shapeId="0" xr:uid="{00000000-0006-0000-2800-00001B000000}">
      <text>
        <r>
          <rPr>
            <b/>
            <sz val="9"/>
            <color indexed="81"/>
            <rFont val="宋体"/>
            <family val="3"/>
            <charset val="134"/>
          </rPr>
          <t xml:space="preserve">容积率
</t>
        </r>
      </text>
    </comment>
    <comment ref="M101" authorId="0" shapeId="0" xr:uid="{00000000-0006-0000-2800-00001C000000}">
      <text>
        <r>
          <rPr>
            <b/>
            <sz val="9"/>
            <color indexed="81"/>
            <rFont val="宋体"/>
            <family val="3"/>
            <charset val="134"/>
          </rPr>
          <t xml:space="preserve">容积率
</t>
        </r>
      </text>
    </comment>
    <comment ref="N101" authorId="0" shapeId="0" xr:uid="{00000000-0006-0000-2800-00001D000000}">
      <text>
        <r>
          <rPr>
            <b/>
            <sz val="9"/>
            <color indexed="81"/>
            <rFont val="宋体"/>
            <family val="3"/>
            <charset val="134"/>
          </rPr>
          <t xml:space="preserve">容积率
</t>
        </r>
      </text>
    </comment>
    <comment ref="C108" authorId="0" shapeId="0" xr:uid="{00000000-0006-0000-28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8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8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8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8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8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8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8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8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8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8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8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8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D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K7" authorId="0" shapeId="0" xr:uid="{00000000-0006-0000-1000-000001000000}">
      <text>
        <r>
          <rPr>
            <b/>
            <sz val="9"/>
            <color indexed="81"/>
            <rFont val="宋体"/>
            <family val="3"/>
            <charset val="134"/>
          </rPr>
          <t>KG:</t>
        </r>
        <r>
          <rPr>
            <sz val="9"/>
            <color indexed="81"/>
            <rFont val="宋体"/>
            <family val="3"/>
            <charset val="134"/>
          </rPr>
          <t xml:space="preserve">
50平米物业服务用房；15平米室内覆盖系统机房；15平米固定通信设备间；6平米有线电视光电转换间</t>
        </r>
      </text>
    </comment>
    <comment ref="E11" authorId="0" shapeId="0" xr:uid="{00000000-0006-0000-1000-000002000000}">
      <text>
        <r>
          <rPr>
            <b/>
            <sz val="9"/>
            <color indexed="81"/>
            <rFont val="宋体"/>
            <family val="3"/>
            <charset val="134"/>
          </rPr>
          <t>KG:</t>
        </r>
        <r>
          <rPr>
            <sz val="9"/>
            <color indexed="81"/>
            <rFont val="宋体"/>
            <family val="3"/>
            <charset val="134"/>
          </rPr>
          <t xml:space="preserve">
100平米物业服务用房20平米小型商服（便利店）</t>
        </r>
      </text>
    </comment>
    <comment ref="K15" authorId="0" shapeId="0" xr:uid="{00000000-0006-0000-1000-000003000000}">
      <text>
        <r>
          <rPr>
            <b/>
            <sz val="9"/>
            <color indexed="81"/>
            <rFont val="宋体"/>
            <family val="3"/>
            <charset val="134"/>
          </rPr>
          <t>KG:</t>
        </r>
        <r>
          <rPr>
            <sz val="9"/>
            <color indexed="81"/>
            <rFont val="宋体"/>
            <family val="3"/>
            <charset val="134"/>
          </rPr>
          <t xml:space="preserve">
260平米锅炉房；360平米配电室</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2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2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2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200-000004000000}">
      <text>
        <r>
          <rPr>
            <b/>
            <sz val="12"/>
            <color indexed="81"/>
            <rFont val="宋体"/>
            <family val="3"/>
            <charset val="134"/>
          </rPr>
          <t>所属项目品质或
物业管理</t>
        </r>
      </text>
    </comment>
    <comment ref="B90" authorId="0" shapeId="0" xr:uid="{00000000-0006-0000-12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<sst xmlns="http://schemas.openxmlformats.org/spreadsheetml/2006/main" count="8549" uniqueCount="3275">
  <si>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</si>
  <si>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</si>
  <si>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</si>
  <si>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</si>
  <si>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</si>
  <si>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</si>
  <si>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</si>
  <si>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</si>
  <si>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</si>
  <si>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</si>
  <si>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</si>
  <si>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</si>
  <si>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</si>
  <si>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</si>
  <si>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</si>
  <si>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</si>
  <si>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</si>
  <si>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</si>
  <si>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</si>
  <si>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</si>
  <si>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</si>
  <si>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</si>
  <si>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</si>
  <si>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</si>
  <si>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</si>
  <si>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</si>
  <si>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</si>
  <si>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</si>
  <si>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</si>
  <si>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</si>
  <si>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</si>
  <si>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</si>
  <si>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</si>
  <si>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</si>
  <si>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</si>
  <si>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</si>
  <si>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</si>
  <si>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</si>
  <si>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</si>
  <si>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</si>
  <si>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</si>
  <si>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</si>
  <si>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</si>
  <si>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</si>
  <si>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</si>
  <si>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</si>
  <si>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</si>
  <si>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</si>
  <si>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</si>
  <si>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</si>
  <si>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</si>
  <si>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</si>
  <si>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</si>
  <si>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</si>
  <si>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</si>
  <si>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</si>
  <si>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</si>
  <si>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</si>
  <si>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</si>
  <si>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</si>
  <si>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</si>
  <si>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</si>
  <si>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</si>
  <si>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</si>
  <si>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</si>
  <si>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</si>
  <si>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</si>
  <si>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</si>
  <si>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</si>
  <si>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</si>
  <si>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</si>
  <si>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</si>
  <si>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</si>
  <si>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</si>
  <si>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</si>
  <si>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</si>
  <si>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</si>
  <si>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</si>
  <si>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</si>
  <si>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</si>
  <si>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</si>
  <si>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</si>
  <si>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</si>
  <si>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</si>
  <si>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</si>
  <si>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</si>
  <si>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</si>
  <si>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</si>
  <si>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</si>
  <si>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</si>
  <si>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</si>
  <si>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</si>
  <si>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</si>
  <si>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</si>
  <si>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</si>
  <si>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</si>
  <si>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</si>
  <si>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</si>
  <si>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</si>
  <si>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</si>
  <si>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</si>
  <si>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</si>
  <si>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</si>
  <si>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</si>
  <si>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</si>
  <si>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</si>
  <si>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</si>
  <si>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</si>
  <si>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</si>
  <si>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</si>
  <si>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</si>
  <si>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</si>
  <si>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</si>
  <si>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</si>
  <si>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</si>
  <si>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</si>
  <si>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</si>
  <si>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</si>
  <si>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</si>
  <si>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</si>
  <si>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</si>
  <si>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</si>
  <si>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</si>
  <si>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</si>
  <si>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</si>
  <si>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</si>
  <si>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</si>
  <si>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</si>
  <si>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</si>
  <si>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</si>
  <si>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</si>
  <si>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</si>
  <si>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</si>
  <si>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</si>
  <si>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</si>
  <si>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</si>
  <si>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</si>
  <si>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</si>
  <si>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</si>
  <si>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</si>
  <si>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</si>
  <si>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</si>
  <si>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</si>
  <si>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</si>
  <si>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</si>
  <si>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</si>
  <si>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</si>
  <si>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</si>
  <si>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</si>
  <si>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</si>
  <si>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</si>
  <si>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</si>
  <si>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</si>
  <si>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</si>
  <si>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</si>
  <si>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</si>
  <si>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</si>
  <si>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</si>
  <si>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</si>
  <si>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</si>
  <si>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</si>
  <si>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</si>
  <si>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</si>
  <si>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</si>
  <si>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</si>
  <si>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</si>
  <si>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</si>
  <si>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</si>
  <si>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</si>
  <si>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</si>
  <si>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</si>
  <si>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</si>
  <si>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</si>
  <si>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</si>
  <si>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</si>
  <si>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</si>
  <si>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</si>
  <si>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</si>
  <si>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</si>
  <si>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</si>
  <si>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</si>
  <si>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</si>
  <si>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</si>
  <si>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</si>
  <si>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</si>
  <si>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</si>
  <si>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</si>
  <si>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</si>
  <si>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</si>
  <si>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</si>
  <si>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</si>
  <si>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</si>
  <si>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</si>
  <si>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</si>
  <si>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</si>
  <si>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</si>
  <si>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</si>
  <si>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</si>
  <si>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</si>
  <si>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</si>
  <si>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</si>
  <si>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</si>
  <si>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</si>
  <si>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</si>
  <si>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</si>
  <si>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</si>
  <si>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</si>
  <si>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</si>
  <si>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</si>
  <si>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</si>
  <si>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</si>
  <si>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</si>
  <si>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</si>
  <si>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</si>
  <si>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</si>
  <si>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</si>
  <si>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</si>
  <si>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</si>
  <si>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</si>
  <si>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</si>
  <si>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</si>
  <si>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</si>
  <si>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</si>
  <si>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</si>
  <si>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</si>
  <si>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</si>
  <si>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</si>
  <si>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</si>
  <si>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</si>
  <si>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</si>
  <si>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</si>
  <si>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</si>
  <si>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</si>
  <si>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</si>
  <si>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</si>
  <si>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</si>
  <si>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</si>
  <si>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</si>
  <si>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</si>
  <si>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</si>
  <si>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</si>
  <si>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</si>
  <si>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</si>
  <si>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</si>
  <si>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</si>
  <si>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</si>
  <si>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</si>
  <si>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</si>
  <si>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</si>
  <si>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</si>
  <si>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</si>
  <si>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</si>
  <si>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</si>
  <si>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</si>
  <si>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</si>
  <si>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</si>
  <si>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</si>
  <si>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</si>
  <si>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</si>
  <si>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</si>
  <si>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</si>
  <si>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</si>
  <si>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</si>
  <si>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</si>
  <si>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</si>
  <si>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</si>
  <si>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</si>
  <si>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</si>
  <si>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</si>
  <si>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</si>
  <si>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</si>
  <si>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</si>
  <si>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</si>
  <si>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</si>
  <si>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</si>
  <si>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</si>
  <si>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</si>
  <si>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</si>
  <si>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</si>
  <si>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</si>
  <si>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</si>
  <si>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</si>
  <si>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</si>
  <si>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</si>
  <si>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</si>
  <si>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</si>
  <si>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</si>
  <si>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</si>
  <si>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</si>
  <si>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</si>
  <si>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</si>
  <si>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</si>
  <si>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</si>
  <si>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</si>
  <si>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</si>
  <si>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</si>
  <si>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</si>
  <si>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</si>
  <si>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</si>
  <si>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</si>
  <si>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</si>
  <si>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</si>
  <si>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</si>
  <si>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</si>
  <si>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</si>
  <si>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</si>
  <si>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</si>
  <si>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</si>
  <si>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</si>
  <si>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</si>
  <si>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</si>
  <si>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</si>
  <si>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</si>
  <si>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</si>
  <si>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</si>
  <si>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</si>
  <si>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</si>
  <si>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</si>
  <si>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</si>
  <si>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</si>
  <si>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</si>
  <si>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</si>
  <si>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</si>
  <si>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</si>
  <si>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</si>
  <si>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</si>
  <si>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</si>
  <si>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</si>
  <si>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</si>
  <si>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</si>
  <si>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</si>
  <si>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</si>
  <si>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</si>
  <si>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</si>
  <si>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</si>
  <si>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</si>
  <si>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</si>
  <si>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</si>
  <si>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</si>
  <si>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</si>
  <si>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</si>
  <si>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</si>
  <si>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</si>
  <si>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</si>
  <si>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</si>
  <si>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</si>
  <si>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</si>
  <si>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</si>
  <si>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</si>
  <si>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</si>
  <si>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</si>
  <si>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</si>
  <si>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</si>
  <si>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</si>
  <si>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</si>
  <si>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</si>
  <si>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</si>
  <si>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</si>
  <si>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</si>
  <si>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</si>
  <si>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</si>
  <si>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</si>
  <si>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</si>
  <si>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</si>
  <si>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</si>
  <si>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</si>
  <si>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</si>
  <si>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</si>
  <si>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</si>
  <si>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</si>
  <si>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</si>
  <si>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</si>
  <si>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</si>
  <si>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</si>
  <si>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</si>
  <si>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</si>
  <si>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</si>
  <si>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</si>
  <si>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</si>
  <si>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</si>
  <si>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</si>
  <si>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</si>
  <si>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</si>
  <si>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</si>
  <si>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</si>
  <si>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</si>
  <si>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</si>
  <si>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</si>
  <si>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</si>
  <si>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</si>
  <si>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</si>
  <si>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</si>
  <si>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</si>
  <si>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</si>
  <si>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</si>
  <si>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</si>
  <si>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</si>
  <si>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</si>
  <si>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</si>
  <si>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</si>
  <si>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</si>
  <si>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</si>
  <si>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</si>
  <si>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</si>
  <si>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</si>
  <si>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</si>
  <si>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</si>
  <si>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</si>
  <si>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</si>
  <si>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</si>
  <si>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</si>
  <si>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</si>
  <si>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</si>
  <si>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</si>
  <si>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</si>
  <si>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</si>
  <si>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</si>
  <si>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</si>
  <si>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</si>
  <si>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</si>
  <si>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</si>
  <si>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</si>
  <si>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</si>
  <si>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</si>
  <si>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</si>
  <si>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</si>
  <si>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</si>
  <si>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</si>
  <si>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</si>
  <si>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</si>
  <si>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</si>
  <si>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</si>
  <si>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</si>
  <si>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</si>
  <si>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</si>
  <si>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</si>
  <si>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</si>
  <si>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</si>
  <si>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</si>
  <si>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</si>
  <si>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</si>
  <si>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</si>
  <si>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</si>
  <si>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</si>
  <si>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</si>
  <si>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</si>
  <si>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</si>
  <si>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</si>
  <si>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</si>
  <si>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</si>
  <si>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</si>
  <si>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</si>
  <si>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</si>
  <si>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</si>
  <si>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</si>
  <si>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</si>
  <si>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</si>
  <si>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</si>
  <si>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</si>
  <si>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</si>
  <si>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</si>
  <si>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</si>
  <si>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</si>
  <si>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</si>
  <si>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</si>
  <si>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</si>
  <si>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</si>
  <si>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</si>
  <si>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</si>
  <si>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</si>
  <si>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</si>
  <si>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</si>
  <si>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</si>
  <si>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</si>
  <si>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</si>
  <si>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</si>
  <si>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</si>
  <si>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</si>
  <si>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</si>
  <si>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</si>
  <si>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</si>
  <si>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</si>
  <si>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</si>
  <si>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</si>
  <si>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</si>
  <si>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</si>
  <si>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</si>
  <si>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</si>
  <si>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</si>
  <si>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</si>
  <si>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</si>
  <si>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</si>
  <si>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</si>
  <si>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</si>
  <si>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</si>
  <si>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</si>
  <si>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</si>
  <si>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</si>
  <si>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</si>
  <si>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</si>
  <si>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</si>
  <si>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</si>
  <si>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</si>
  <si>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</si>
  <si>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</si>
  <si>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</si>
  <si>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</si>
  <si>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</si>
  <si>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</si>
  <si>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</si>
  <si>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</si>
  <si>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</si>
  <si>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</si>
  <si>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</si>
  <si>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</si>
  <si>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</si>
  <si>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</si>
  <si>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</si>
  <si>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</si>
  <si>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</si>
  <si>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</si>
  <si>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</si>
  <si>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</si>
  <si>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</si>
  <si>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</si>
  <si>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</si>
  <si>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</si>
  <si>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</si>
  <si>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</si>
  <si>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</si>
  <si>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</si>
  <si>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</si>
  <si>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</si>
  <si>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</si>
  <si>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</si>
  <si>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</si>
  <si>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</si>
  <si>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</si>
  <si>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</si>
  <si>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</si>
  <si>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</si>
  <si>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</si>
  <si>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</si>
  <si>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</si>
  <si>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</si>
  <si>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</si>
  <si>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</si>
  <si>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</si>
  <si>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</si>
  <si>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</si>
  <si>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</si>
  <si>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</si>
  <si>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</si>
  <si>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</si>
  <si>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</si>
  <si>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</si>
  <si>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</si>
  <si>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</si>
  <si>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</si>
  <si>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</si>
  <si>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</si>
  <si>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</si>
  <si>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</si>
  <si>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</si>
  <si>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</si>
  <si>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</si>
  <si>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</si>
  <si>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</si>
  <si>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</si>
  <si>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</si>
  <si>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</si>
  <si>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</si>
  <si>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</si>
  <si>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</si>
  <si>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</si>
  <si>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</si>
  <si>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</si>
  <si>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</si>
  <si>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</si>
  <si>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</si>
  <si>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</si>
  <si>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</si>
  <si>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</si>
  <si>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</si>
  <si>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</si>
  <si>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</si>
  <si>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</si>
  <si>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</si>
  <si>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</si>
  <si>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</si>
  <si>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</si>
  <si>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</si>
  <si>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</si>
  <si>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</si>
  <si>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</si>
  <si>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</si>
  <si>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</si>
  <si>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</si>
  <si>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</si>
  <si>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</si>
  <si>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</si>
  <si>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</si>
  <si>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</si>
  <si>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</si>
  <si>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</si>
  <si>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</si>
  <si>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</si>
  <si>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</si>
  <si>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</si>
  <si>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</si>
  <si>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</si>
  <si>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</si>
  <si>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</si>
  <si>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</si>
  <si>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</si>
  <si>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</si>
  <si>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</si>
  <si>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</si>
  <si>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</si>
  <si>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</si>
  <si>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</si>
  <si>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</si>
  <si>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</si>
  <si>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</si>
  <si>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</si>
  <si>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</si>
  <si>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</si>
  <si>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</si>
  <si>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</si>
  <si>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</si>
  <si>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</si>
  <si>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</si>
  <si>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</si>
  <si>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</si>
  <si>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</si>
  <si>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</si>
  <si>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</si>
  <si>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</si>
  <si>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</si>
  <si>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</si>
  <si>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</si>
  <si>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</si>
  <si>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</si>
  <si>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</si>
  <si>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</si>
  <si>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</si>
  <si>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</si>
  <si>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</si>
  <si>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</si>
  <si>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</si>
  <si>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</si>
  <si>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</si>
  <si>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</si>
  <si>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</si>
  <si>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</si>
  <si>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</si>
  <si>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</si>
  <si>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</si>
  <si>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</si>
  <si>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</si>
  <si>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</si>
  <si>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</si>
  <si>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</si>
  <si>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</si>
  <si>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</si>
  <si>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</si>
  <si>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</si>
  <si>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</si>
  <si>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</si>
  <si>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</si>
  <si>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</si>
  <si>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</si>
  <si>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</si>
  <si>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</si>
  <si>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</si>
  <si>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</si>
  <si>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</si>
  <si>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</si>
  <si>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</si>
  <si>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</si>
  <si>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</si>
  <si>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</si>
  <si>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</si>
  <si>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</si>
  <si>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</si>
  <si>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</si>
  <si>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</si>
  <si>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</si>
  <si>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</si>
  <si>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</si>
  <si>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</si>
  <si>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</si>
  <si>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</si>
  <si>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</si>
  <si>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</si>
  <si>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</si>
  <si>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</si>
  <si>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</si>
  <si>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</si>
  <si>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</si>
  <si>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</si>
  <si>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</si>
  <si>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</si>
  <si>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</si>
  <si>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</si>
  <si>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</si>
  <si>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</si>
  <si>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</si>
  <si>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</si>
  <si>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</si>
  <si>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</si>
  <si>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</si>
  <si>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</si>
  <si>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</si>
  <si>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</si>
  <si>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</si>
  <si>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</si>
  <si>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</si>
  <si>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</si>
  <si>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</si>
  <si>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</si>
  <si>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</si>
  <si>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</si>
  <si>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</si>
  <si>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</si>
  <si>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</si>
  <si>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</si>
  <si>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</si>
  <si>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</si>
  <si>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</si>
  <si>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</si>
  <si>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</si>
  <si>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</si>
  <si>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</si>
  <si>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</si>
  <si>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</si>
  <si>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</si>
  <si>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</si>
  <si>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</si>
  <si>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</si>
  <si>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</si>
  <si>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</si>
  <si>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</si>
  <si>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</si>
  <si>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</si>
  <si>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</si>
  <si>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</si>
  <si>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</si>
  <si>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</si>
  <si>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</si>
  <si>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</si>
  <si>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</si>
  <si>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</si>
  <si>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</si>
  <si>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</si>
  <si>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</si>
  <si>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</si>
  <si>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</si>
  <si>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</si>
  <si>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</si>
  <si>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</si>
  <si>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</si>
  <si>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</si>
  <si>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</si>
  <si>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</si>
  <si>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</si>
  <si>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</si>
  <si>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</si>
  <si>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</si>
  <si>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</si>
  <si>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</si>
  <si>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</si>
  <si>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</si>
  <si>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</si>
  <si>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</si>
  <si>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</si>
  <si>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</si>
  <si>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</si>
  <si>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</si>
  <si>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</si>
  <si>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</si>
  <si>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</si>
  <si>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</si>
  <si>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</si>
  <si>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</si>
  <si>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</si>
  <si>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</si>
  <si>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</si>
  <si>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</si>
  <si>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</si>
  <si>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</si>
  <si>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</si>
  <si>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</si>
  <si>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</si>
  <si>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</si>
  <si>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</si>
  <si>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</si>
  <si>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</si>
  <si>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</si>
  <si>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</si>
  <si>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</si>
  <si>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</si>
  <si>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</si>
  <si>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</si>
  <si>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</si>
  <si>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</si>
  <si>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</si>
  <si>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</si>
  <si>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</si>
  <si>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</si>
  <si>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</si>
  <si>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</si>
  <si>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</si>
  <si>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</si>
  <si>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</si>
  <si>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</si>
  <si>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</si>
  <si>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</si>
  <si>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</si>
  <si>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</si>
  <si>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</si>
  <si>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</si>
  <si>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</si>
  <si>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</si>
  <si>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</si>
  <si>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</si>
  <si>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</si>
  <si>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</si>
  <si>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</si>
  <si>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</si>
  <si>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</si>
  <si>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</si>
  <si>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</si>
  <si>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</si>
  <si>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</si>
  <si>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</si>
  <si>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</si>
  <si>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</si>
  <si>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</si>
  <si>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</si>
  <si>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</si>
  <si>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</si>
  <si>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</si>
  <si>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</si>
  <si>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</si>
  <si>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</si>
  <si>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</si>
  <si>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</si>
  <si>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</si>
  <si>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</si>
  <si>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</si>
  <si>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</si>
  <si>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</si>
  <si>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</si>
  <si>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</si>
  <si>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</si>
  <si>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</si>
  <si>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</si>
  <si>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</si>
  <si>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</si>
  <si>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</si>
  <si>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</si>
  <si>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</si>
  <si>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</si>
  <si>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</si>
  <si>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</si>
  <si>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</si>
  <si>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</si>
  <si>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</si>
  <si>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</si>
  <si>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</si>
  <si>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</si>
  <si>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</si>
  <si>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</si>
  <si>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</si>
  <si>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</si>
  <si>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</si>
  <si>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</si>
  <si>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</si>
  <si>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</si>
  <si>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</si>
  <si>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</si>
  <si>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</si>
  <si>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</si>
  <si>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</si>
  <si>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</si>
  <si>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</si>
  <si>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</si>
  <si>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</si>
  <si>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</si>
  <si>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</si>
  <si>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</si>
  <si>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</si>
  <si>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</si>
  <si>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</si>
  <si>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</si>
  <si>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</si>
  <si>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</si>
  <si>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</si>
  <si>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</si>
  <si>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</si>
  <si>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</si>
  <si>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</si>
  <si>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</si>
  <si>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</si>
  <si>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</si>
  <si>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</si>
  <si>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</si>
  <si>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</si>
  <si>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</si>
  <si>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</si>
  <si>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</si>
  <si>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</si>
  <si>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</si>
  <si>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</si>
  <si>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</si>
  <si>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</si>
  <si>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</si>
  <si>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</si>
  <si>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</si>
  <si>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</si>
  <si>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</si>
  <si>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</si>
  <si>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</si>
  <si>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</si>
  <si>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</si>
  <si>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</si>
  <si>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</si>
  <si>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</si>
  <si>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</si>
  <si>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</si>
  <si>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</si>
  <si>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</si>
  <si>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</si>
  <si>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</si>
  <si>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</si>
  <si>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</si>
  <si>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</si>
  <si>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</si>
  <si>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</si>
  <si>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</si>
  <si>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</si>
  <si>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</si>
  <si>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</si>
  <si>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</si>
  <si>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</si>
  <si>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</si>
  <si>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</si>
  <si>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</si>
  <si>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</si>
  <si>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</si>
  <si>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</si>
  <si>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</si>
  <si>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</si>
  <si>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</si>
  <si>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</si>
  <si>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</si>
  <si>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</si>
  <si>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</si>
  <si>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</si>
  <si>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</si>
  <si>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</si>
  <si>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</si>
  <si>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</si>
  <si>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</si>
  <si>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</si>
  <si>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</si>
  <si>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</si>
  <si>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</si>
  <si>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</si>
  <si>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</si>
  <si>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</si>
  <si>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</si>
  <si>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</si>
  <si>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</si>
  <si>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</si>
  <si>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</si>
  <si>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</si>
  <si>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</si>
  <si>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</si>
  <si>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</si>
  <si>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</si>
  <si>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</si>
  <si>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</si>
  <si>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</si>
  <si>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</si>
  <si>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</si>
  <si>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</si>
  <si>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</si>
  <si>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</si>
  <si>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</si>
  <si>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</si>
  <si>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</si>
  <si>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</si>
  <si>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</si>
  <si>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</si>
  <si>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</si>
  <si>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</si>
  <si>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</si>
  <si>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</si>
  <si>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</si>
  <si>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</si>
  <si>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</si>
  <si>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</si>
  <si>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</si>
  <si>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</si>
  <si>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</si>
  <si>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</si>
  <si>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</si>
  <si>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</si>
  <si>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</si>
  <si>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</si>
  <si>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</si>
  <si>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</si>
  <si>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</si>
  <si>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</si>
  <si>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</si>
  <si>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</si>
  <si>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</si>
  <si>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</si>
  <si>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</si>
  <si>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</si>
  <si>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</si>
  <si>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</si>
  <si>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</si>
  <si>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</si>
  <si>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</si>
  <si>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</si>
  <si>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</si>
  <si>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</si>
  <si>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</si>
  <si>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</si>
  <si>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</si>
  <si>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</si>
  <si>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</si>
  <si>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</si>
  <si>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</si>
  <si>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</si>
  <si>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</si>
  <si>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</si>
  <si>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</si>
  <si>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</si>
  <si>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</si>
  <si>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</si>
  <si>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</si>
  <si>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</si>
  <si>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</si>
  <si>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</si>
  <si>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</si>
  <si>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</si>
  <si>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</si>
  <si>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</si>
  <si>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</si>
  <si>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</si>
  <si>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</si>
  <si>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</si>
  <si>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</si>
  <si>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</si>
  <si>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</si>
  <si>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</si>
  <si>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</si>
  <si>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</si>
  <si>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</si>
  <si>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</si>
  <si>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</si>
  <si>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</si>
  <si>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</si>
  <si>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</si>
  <si>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</si>
  <si>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</si>
  <si>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</si>
  <si>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</si>
  <si>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</si>
  <si>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</si>
  <si>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</si>
  <si>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</si>
  <si>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</si>
  <si>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</si>
  <si>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</si>
  <si>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</si>
  <si>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</si>
  <si>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</si>
  <si>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</si>
  <si>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</si>
  <si>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</si>
  <si>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</si>
  <si>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</si>
  <si>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</si>
  <si>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</si>
  <si>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</si>
  <si>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</si>
  <si>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</si>
  <si>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</si>
  <si>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</si>
  <si>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</si>
  <si>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</si>
  <si>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</si>
  <si>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</si>
  <si>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</si>
  <si>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</si>
  <si>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</si>
  <si>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</si>
  <si>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</si>
  <si>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</si>
  <si>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</si>
  <si>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</si>
  <si>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</si>
  <si>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</si>
  <si>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</si>
  <si>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</si>
  <si>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</si>
  <si>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</si>
  <si>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</si>
  <si>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</si>
  <si>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</si>
  <si>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</si>
  <si>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</si>
  <si>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</si>
  <si>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</si>
  <si>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</si>
  <si>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</si>
  <si>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</si>
  <si>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</si>
  <si>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</si>
  <si>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</si>
  <si>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</si>
  <si>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</si>
  <si>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</si>
  <si>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</si>
  <si>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</si>
  <si>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</si>
  <si>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</si>
  <si>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</si>
  <si>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</si>
  <si>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</si>
  <si>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</si>
  <si>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</si>
  <si>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</si>
  <si>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</si>
  <si>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</si>
  <si>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</si>
  <si>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</si>
  <si>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</si>
  <si>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</si>
  <si>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</si>
  <si>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</si>
  <si>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</si>
  <si>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</si>
  <si>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</si>
  <si>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</si>
  <si>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</si>
  <si>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</si>
  <si>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</si>
  <si>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</si>
  <si>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</si>
  <si>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</si>
  <si>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</si>
  <si>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</si>
  <si>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</si>
  <si>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</si>
  <si>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</si>
  <si>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</si>
  <si>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</si>
  <si>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</si>
  <si>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</si>
  <si>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</si>
  <si>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</si>
  <si>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</si>
  <si>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</si>
  <si>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</si>
  <si>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</si>
  <si>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</si>
  <si>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</si>
  <si>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</si>
  <si>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</si>
  <si>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</si>
  <si>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</si>
  <si>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</si>
  <si>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</si>
  <si>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</si>
  <si>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</si>
  <si>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</si>
  <si>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</si>
  <si>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</si>
  <si>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</si>
  <si>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</si>
  <si>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</si>
  <si>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</si>
  <si>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</si>
  <si>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</si>
  <si>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</si>
  <si>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</si>
  <si>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</si>
  <si>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</si>
  <si>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</si>
  <si>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</si>
  <si>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</si>
  <si>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</si>
  <si>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</si>
  <si>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</si>
  <si>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</si>
  <si>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</si>
  <si>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</si>
  <si>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</si>
  <si>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</si>
  <si>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</si>
  <si>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</si>
  <si>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</si>
  <si>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</si>
  <si>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</si>
  <si>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</si>
  <si>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</si>
  <si>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</si>
  <si>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</si>
  <si>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</si>
  <si>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</si>
  <si>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</si>
  <si>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</si>
  <si>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</si>
  <si>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</si>
  <si>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</si>
  <si>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</si>
  <si>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</si>
  <si>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</si>
  <si>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</si>
  <si>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</si>
  <si>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</si>
  <si>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</si>
  <si>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</si>
  <si>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</si>
  <si>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</si>
  <si>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</si>
  <si>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</si>
  <si>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</si>
  <si>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</si>
  <si>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</si>
  <si>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</si>
  <si>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</si>
  <si>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</si>
  <si>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</si>
  <si>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</si>
  <si>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</si>
  <si>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</si>
  <si>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</si>
  <si>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</si>
  <si>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</si>
  <si>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</si>
  <si>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</si>
  <si>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</si>
  <si>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</si>
  <si>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</si>
  <si>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</si>
  <si>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</si>
  <si>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</si>
  <si>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</si>
  <si>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</si>
  <si>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</si>
  <si>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</si>
  <si>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</si>
  <si>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</si>
  <si>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</si>
  <si>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</si>
  <si>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</si>
  <si>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</si>
  <si>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</si>
  <si>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</si>
  <si>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</si>
  <si>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</si>
  <si>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</si>
  <si>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</si>
  <si>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</si>
  <si>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</si>
  <si>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</si>
  <si>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</si>
  <si>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</si>
  <si>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</si>
  <si>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</si>
  <si>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</si>
  <si>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</si>
  <si>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</si>
  <si>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</si>
  <si>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</si>
  <si>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</si>
  <si>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</si>
  <si>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</si>
  <si>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</si>
  <si>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</si>
  <si>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</si>
  <si>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</si>
  <si>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</si>
  <si>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</si>
  <si>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</si>
  <si>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</si>
  <si>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</si>
  <si>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</si>
  <si>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</si>
  <si>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</si>
  <si>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</si>
  <si>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</si>
  <si>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</si>
  <si>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</si>
  <si>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</si>
  <si>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</si>
  <si>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</si>
  <si>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</si>
  <si>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</si>
  <si>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</si>
  <si>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</si>
  <si>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</si>
  <si>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</si>
  <si>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</si>
  <si>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</si>
  <si>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</si>
  <si>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</si>
  <si>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</si>
  <si>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</si>
  <si>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</si>
  <si>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</si>
  <si>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</si>
  <si>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</si>
  <si>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</si>
  <si>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</si>
  <si>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</si>
  <si>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</si>
  <si>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</si>
  <si>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</si>
  <si>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</si>
  <si>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</si>
  <si>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</si>
  <si>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</si>
  <si>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</si>
  <si>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</si>
  <si>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</si>
  <si>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</si>
  <si>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</si>
  <si>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</si>
  <si>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</si>
  <si>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</si>
  <si>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</si>
  <si>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</si>
  <si>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</si>
  <si>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</si>
  <si>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</si>
  <si>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</si>
  <si>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</si>
  <si>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</si>
  <si>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</si>
  <si>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</si>
  <si>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</si>
  <si>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</si>
  <si>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</si>
  <si>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</si>
  <si>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</si>
  <si>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</si>
  <si>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</si>
  <si>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</si>
  <si>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</si>
  <si>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</si>
  <si>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</si>
  <si>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</si>
  <si>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</si>
  <si>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</si>
  <si>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</si>
  <si>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</si>
  <si>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</si>
  <si>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</si>
  <si>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</si>
  <si>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</si>
  <si>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</si>
  <si>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</si>
  <si>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</si>
  <si>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</si>
  <si>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</si>
  <si>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</si>
  <si>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</si>
  <si>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</si>
  <si>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</si>
  <si>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</si>
  <si>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</si>
  <si>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</si>
  <si>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</si>
  <si>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</si>
  <si>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</si>
  <si>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</si>
  <si>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</si>
  <si>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</si>
  <si>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</si>
  <si>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</si>
  <si>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</si>
  <si>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</si>
  <si>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</si>
  <si>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</si>
  <si>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</si>
  <si>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</si>
  <si>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</si>
  <si>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</si>
  <si>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</si>
  <si>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</si>
  <si>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</si>
  <si>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</si>
  <si>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</si>
  <si>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</si>
  <si>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</si>
  <si>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</si>
  <si>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</si>
  <si>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</si>
  <si>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</si>
  <si>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</si>
  <si>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</si>
  <si>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</si>
  <si>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</si>
  <si>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</si>
  <si>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</si>
  <si>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</si>
  <si>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</si>
  <si>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</si>
  <si>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</si>
  <si>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</si>
  <si>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</si>
  <si>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</si>
  <si>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</si>
  <si>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</si>
  <si>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</si>
  <si>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</si>
  <si>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</si>
  <si>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</si>
  <si>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</si>
  <si>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</si>
  <si>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</si>
  <si>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</si>
  <si>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</si>
  <si>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</si>
  <si>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</si>
  <si>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</si>
  <si>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</si>
  <si>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</si>
  <si>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</si>
  <si>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</si>
  <si>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</si>
  <si>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</si>
  <si>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</si>
  <si>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</si>
  <si>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</si>
  <si>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</si>
  <si>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</si>
  <si>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</si>
  <si>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</si>
  <si>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</si>
  <si>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</si>
  <si>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</si>
  <si>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</si>
  <si>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</si>
  <si>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</si>
  <si>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</si>
  <si>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</si>
  <si>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</si>
  <si>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</si>
  <si>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</si>
  <si>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</si>
  <si>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</si>
  <si>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</si>
  <si>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</si>
  <si>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</si>
  <si>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</si>
  <si>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</si>
  <si>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</si>
  <si>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</si>
  <si>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</si>
  <si>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</si>
  <si>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</si>
  <si>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</si>
  <si>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</si>
  <si>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</si>
  <si>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</si>
  <si>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</si>
  <si>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</si>
  <si>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</si>
  <si>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</si>
  <si>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</si>
  <si>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</si>
  <si>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</si>
  <si>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</si>
  <si>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</si>
  <si>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</si>
  <si>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</si>
  <si>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</si>
  <si>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</si>
  <si>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</si>
  <si>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</si>
  <si>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</si>
  <si>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</si>
  <si>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</si>
  <si>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</si>
  <si>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</si>
  <si>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</si>
  <si>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</si>
  <si>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</si>
  <si>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</si>
  <si>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</si>
  <si>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</si>
  <si>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</si>
  <si>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</si>
  <si>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</si>
  <si>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</si>
  <si>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</si>
  <si>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</si>
  <si>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</si>
  <si>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</si>
  <si>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</si>
  <si>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</si>
  <si>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</si>
  <si>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</si>
  <si>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</si>
  <si>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</si>
  <si>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</si>
  <si>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</si>
  <si>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</si>
  <si>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</si>
  <si>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</si>
  <si>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</si>
  <si>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</si>
  <si>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</si>
  <si>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</si>
  <si>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</si>
  <si>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</si>
  <si>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</si>
  <si>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</si>
  <si>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</si>
  <si>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</si>
  <si>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</si>
  <si>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</si>
  <si>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</si>
  <si>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</si>
  <si>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</si>
  <si>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</si>
  <si>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</si>
  <si>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</si>
  <si>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</si>
  <si>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</si>
  <si>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</si>
  <si>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</si>
  <si>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</si>
  <si>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</si>
  <si>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</si>
  <si>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</si>
  <si>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</si>
  <si>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</si>
  <si>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</si>
  <si>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</si>
  <si>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</si>
  <si>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</si>
  <si>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</si>
  <si>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</si>
  <si>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</si>
  <si>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</si>
  <si>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</si>
  <si>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</si>
  <si>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</si>
  <si>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</si>
  <si>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</si>
  <si>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</si>
  <si>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</si>
  <si>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</si>
  <si>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</si>
  <si>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</si>
  <si>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</si>
  <si>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</si>
  <si>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</si>
  <si>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</si>
  <si>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</si>
  <si>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</si>
  <si>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</si>
  <si>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</si>
  <si>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</si>
  <si>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</si>
  <si>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</si>
  <si>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</si>
  <si>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</si>
  <si>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</si>
  <si>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</si>
  <si>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</si>
  <si>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</si>
  <si>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</si>
  <si>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</si>
  <si>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</si>
  <si>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</si>
  <si>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</si>
  <si>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</si>
  <si>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</si>
  <si>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</si>
  <si>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</si>
  <si>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</si>
  <si>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</si>
  <si>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</si>
  <si>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</si>
  <si>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</si>
  <si>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</si>
  <si>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</si>
  <si>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</si>
  <si>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</si>
  <si>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</si>
  <si>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</si>
  <si>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</si>
  <si>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</si>
  <si>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</si>
  <si>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</si>
  <si>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</si>
  <si>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</si>
  <si>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</si>
  <si>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</si>
  <si>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</si>
  <si>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</si>
  <si>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</si>
  <si>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</si>
  <si>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</si>
  <si>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</si>
  <si>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</si>
  <si>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</si>
  <si>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</si>
  <si>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</si>
  <si>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</si>
  <si>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</si>
  <si>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</si>
  <si>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</si>
  <si>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</si>
  <si>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</si>
  <si>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</si>
  <si>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</si>
  <si>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</si>
  <si>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</si>
  <si>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</si>
  <si>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</si>
  <si>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</si>
  <si>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</si>
  <si>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</si>
  <si>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</si>
  <si>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</si>
  <si>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</si>
  <si>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</si>
  <si>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</si>
  <si>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</si>
  <si>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</si>
  <si>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</si>
  <si>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</si>
  <si>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</si>
  <si>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</si>
  <si>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</si>
  <si>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</si>
  <si>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</si>
  <si>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</si>
  <si>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</si>
  <si>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</si>
  <si>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</si>
  <si>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</si>
  <si>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</si>
  <si>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</si>
  <si>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</si>
  <si>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</si>
  <si>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</si>
  <si>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</si>
  <si>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</si>
  <si>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</si>
  <si>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</si>
  <si>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</si>
  <si>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</si>
  <si>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</si>
  <si>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</si>
  <si>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</si>
  <si>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</si>
  <si>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</si>
  <si>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</si>
  <si>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</si>
  <si>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</si>
  <si>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</si>
  <si>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</si>
  <si>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</si>
  <si>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</si>
  <si>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</si>
  <si>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</si>
  <si>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</si>
  <si>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</si>
  <si>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</si>
  <si>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</si>
  <si>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</si>
  <si>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</si>
  <si>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</si>
  <si>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</si>
  <si>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</si>
  <si>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</si>
  <si>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</si>
  <si>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</si>
  <si>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</si>
  <si>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</si>
  <si>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</si>
  <si>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</si>
  <si>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</si>
  <si>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</si>
  <si>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</si>
  <si>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</si>
  <si>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</si>
  <si>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</si>
  <si>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</si>
  <si>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</si>
  <si>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</si>
  <si>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</si>
  <si>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</si>
  <si>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</si>
  <si>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</si>
  <si>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</si>
  <si>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</si>
  <si>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</si>
  <si>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</si>
  <si>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</si>
  <si>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</si>
  <si>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</si>
  <si>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</si>
  <si>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</si>
  <si>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</si>
  <si>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</si>
  <si>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</si>
  <si>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</si>
  <si>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</si>
  <si>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</si>
  <si>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</si>
  <si>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</si>
  <si>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</si>
  <si>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</si>
  <si>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</si>
  <si>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</si>
  <si>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</si>
  <si>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</si>
  <si>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</si>
  <si>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</si>
  <si>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</si>
  <si>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</si>
  <si>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</si>
  <si>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</si>
  <si>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</si>
  <si>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</si>
  <si>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</si>
  <si>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</si>
  <si>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</si>
  <si>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</si>
  <si>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</si>
  <si>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</si>
  <si>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</si>
  <si>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</si>
  <si>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</si>
  <si>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</si>
  <si>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</si>
  <si>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</si>
  <si>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</si>
  <si>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</si>
  <si>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</si>
  <si>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</si>
  <si>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</si>
  <si>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</si>
  <si>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</si>
  <si>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</si>
  <si>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</si>
  <si>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</si>
  <si>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</si>
  <si>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</si>
  <si>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</si>
  <si>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</si>
  <si>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</si>
  <si>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</si>
  <si>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</si>
  <si>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</si>
  <si>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</si>
  <si>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</si>
  <si>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</si>
  <si>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</si>
  <si>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</si>
  <si>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</si>
  <si>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</si>
  <si>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</si>
  <si>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</si>
  <si>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</si>
  <si>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</si>
  <si>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</si>
  <si>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</si>
  <si>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</si>
  <si>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</si>
  <si>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</si>
  <si>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</si>
  <si>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</si>
  <si>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</si>
  <si>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</si>
  <si>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</si>
  <si>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</si>
  <si>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</si>
  <si>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</si>
  <si>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</si>
  <si>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</si>
  <si>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</si>
  <si>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</si>
  <si>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</si>
  <si>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</si>
  <si>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</si>
  <si>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</si>
  <si>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</si>
  <si>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</si>
  <si>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</si>
  <si>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</si>
  <si>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</si>
  <si>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</si>
  <si>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</si>
  <si>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</si>
  <si>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</si>
  <si>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</si>
  <si>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</si>
  <si>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</si>
  <si>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</si>
  <si>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</si>
  <si>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</si>
  <si>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</si>
  <si>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</si>
  <si>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</si>
  <si>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</si>
  <si>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</si>
  <si>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</si>
  <si>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</si>
  <si>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</si>
  <si>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</si>
  <si>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</si>
  <si>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</si>
  <si>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</si>
  <si>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</si>
  <si>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</si>
  <si>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</si>
  <si>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</si>
  <si>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</si>
  <si>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</si>
  <si>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</si>
  <si>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</si>
  <si>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</si>
  <si>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</si>
  <si>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</si>
  <si>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</si>
  <si>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</si>
  <si>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</si>
  <si>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</si>
  <si>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</si>
  <si>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</si>
  <si>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</si>
  <si>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</si>
  <si>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</si>
  <si>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</si>
  <si>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</si>
  <si>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</si>
  <si>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</si>
  <si>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</si>
  <si>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</si>
  <si>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</si>
  <si>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</si>
  <si>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</si>
  <si>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</si>
  <si>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</si>
  <si>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</si>
  <si>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</si>
  <si>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</si>
  <si>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</si>
  <si>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</si>
  <si>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</si>
  <si>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</si>
  <si>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</si>
  <si>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</si>
  <si>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</si>
  <si>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</si>
  <si>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</si>
  <si>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</si>
  <si>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</si>
  <si>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</si>
  <si>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</si>
  <si>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</si>
  <si>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</si>
  <si>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</si>
  <si>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</si>
  <si>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</si>
  <si>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</si>
  <si>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</si>
  <si>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</si>
  <si>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</si>
  <si>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</si>
  <si>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</si>
  <si>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</si>
  <si>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</si>
  <si>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</si>
  <si>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</si>
  <si>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</si>
  <si>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</si>
  <si>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</si>
  <si>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</si>
  <si>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</si>
  <si>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</si>
  <si>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</si>
  <si>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</si>
  <si>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</si>
  <si>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</si>
  <si>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</si>
  <si>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</si>
  <si>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</si>
  <si>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</si>
  <si>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</si>
  <si>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</si>
  <si>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</si>
  <si>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</si>
  <si>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</si>
  <si>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</si>
  <si>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</si>
  <si>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</si>
  <si>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</si>
  <si>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</si>
  <si>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</si>
  <si>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</si>
  <si>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</si>
  <si>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</si>
  <si>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</si>
  <si>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</si>
  <si>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</si>
  <si>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</si>
  <si>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</si>
  <si>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</si>
  <si>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</si>
  <si>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</si>
  <si>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</si>
  <si>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</si>
  <si>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</si>
  <si>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</si>
  <si>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</si>
  <si>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</si>
  <si>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</si>
  <si>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</si>
  <si>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</si>
  <si>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</si>
  <si>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</si>
  <si>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</si>
  <si>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</si>
  <si>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</si>
  <si>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</si>
  <si>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</si>
  <si>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</si>
  <si>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</si>
  <si>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</si>
  <si>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</si>
  <si>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</si>
  <si>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</si>
  <si>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</si>
  <si>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</si>
  <si>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</si>
  <si>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</si>
  <si>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</si>
  <si>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</si>
  <si>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</si>
  <si>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</si>
  <si>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</si>
  <si>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</si>
  <si>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</si>
  <si>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</si>
  <si>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</si>
  <si>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</si>
  <si>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</si>
  <si>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</si>
  <si>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</si>
  <si>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</si>
  <si>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</si>
  <si>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</si>
  <si>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</si>
  <si>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</si>
  <si>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</si>
  <si>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</si>
  <si>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</si>
  <si>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</si>
  <si>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</si>
  <si>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</si>
  <si>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</si>
  <si>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</si>
  <si>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</si>
  <si>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</si>
  <si>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</si>
  <si>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</si>
  <si>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</si>
  <si>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</si>
  <si>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</si>
  <si>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</si>
  <si>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</si>
  <si>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</si>
  <si>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</si>
  <si>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</si>
  <si>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</si>
  <si>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</si>
  <si>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</si>
  <si>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</si>
  <si>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</si>
  <si>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</si>
  <si>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</si>
  <si>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</si>
  <si>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</si>
  <si>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</si>
  <si>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</si>
  <si>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</si>
  <si>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</si>
  <si>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</si>
  <si>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</si>
  <si>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</si>
  <si>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</si>
  <si>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</si>
  <si>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</si>
  <si>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</si>
  <si>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</si>
  <si>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</si>
  <si>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</si>
  <si>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</si>
  <si>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</si>
  <si>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</si>
  <si>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</si>
  <si>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</si>
  <si>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</si>
  <si>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</si>
  <si>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</si>
  <si>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</si>
  <si>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</si>
  <si>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</si>
  <si>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</si>
  <si>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</si>
  <si>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</si>
  <si>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</si>
  <si>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</si>
  <si>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</si>
  <si>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</si>
  <si>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</si>
  <si>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</si>
  <si>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</si>
  <si>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</si>
  <si>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</si>
  <si>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</si>
  <si>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</si>
  <si>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</si>
  <si>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</si>
  <si>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</si>
  <si>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</si>
  <si>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</si>
  <si>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</si>
  <si>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</si>
  <si>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</si>
  <si>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</si>
  <si>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</si>
  <si>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</si>
  <si>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</si>
  <si>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</si>
  <si>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</si>
  <si>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</si>
  <si>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</si>
  <si>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</si>
  <si>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</si>
  <si>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</si>
  <si>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</si>
  <si>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</si>
  <si>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</si>
  <si>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</si>
  <si>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</si>
  <si>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</si>
  <si>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</si>
  <si>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</si>
  <si>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</si>
  <si>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</si>
  <si>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</si>
  <si>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</si>
  <si>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</si>
  <si>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</si>
  <si>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</si>
  <si>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</si>
  <si>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</si>
  <si>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</si>
  <si>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</si>
  <si>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</si>
  <si>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</si>
  <si>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</si>
  <si>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</si>
  <si>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</si>
  <si>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</si>
  <si>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</si>
  <si>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</si>
  <si>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</si>
  <si>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</si>
  <si>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</si>
  <si>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</si>
  <si>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</si>
  <si>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</si>
  <si>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</si>
  <si>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</si>
  <si>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</si>
  <si>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</si>
  <si>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</si>
  <si>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</si>
  <si>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</si>
  <si>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</si>
  <si>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</si>
  <si>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</si>
  <si>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</si>
  <si>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</si>
  <si>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</si>
  <si>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</si>
  <si>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</si>
  <si>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</si>
  <si>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</si>
  <si>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</si>
  <si>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</si>
  <si>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</si>
  <si>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</si>
  <si>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</si>
  <si>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</si>
  <si>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</si>
  <si>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</si>
  <si>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</si>
  <si>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</si>
  <si>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</si>
  <si>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</si>
  <si>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</si>
  <si>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</si>
  <si>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</si>
  <si>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</si>
  <si>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</si>
  <si>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</si>
  <si>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</si>
  <si>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</si>
  <si>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</si>
  <si>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</si>
  <si>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</si>
  <si>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</si>
  <si>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</si>
  <si>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</si>
  <si>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</si>
  <si>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</si>
  <si>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</si>
  <si>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</si>
  <si>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</si>
  <si>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</si>
  <si>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</si>
  <si>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</si>
  <si>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</si>
  <si>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</si>
  <si>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</si>
  <si>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</si>
  <si>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</si>
  <si>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</si>
  <si>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</si>
  <si>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</si>
  <si>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</si>
  <si>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</si>
  <si>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</si>
  <si>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</si>
  <si>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</si>
  <si>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</si>
  <si>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</si>
  <si>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</si>
  <si>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</si>
  <si>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</si>
  <si>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</si>
  <si>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</si>
  <si>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</si>
  <si>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</si>
  <si>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</si>
  <si>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</si>
  <si>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</si>
  <si>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</si>
  <si>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</si>
  <si>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</si>
  <si>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</si>
  <si>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</si>
  <si>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</si>
  <si>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</si>
  <si>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</si>
  <si>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</si>
  <si>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</si>
  <si>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</si>
  <si>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</si>
  <si>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</si>
  <si>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</si>
  <si>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</si>
  <si>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</si>
  <si>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</si>
  <si>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</si>
  <si>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</si>
  <si>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</si>
  <si>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</si>
  <si>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</si>
  <si>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</si>
  <si>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</si>
  <si>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</si>
  <si>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</si>
  <si>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</si>
  <si>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</si>
  <si>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</si>
  <si>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</si>
  <si>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</si>
  <si>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</si>
  <si>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</si>
  <si>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</si>
  <si>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</si>
  <si>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</si>
  <si>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</si>
  <si>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</si>
  <si>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</si>
  <si>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</si>
  <si>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</si>
  <si>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</si>
  <si>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</si>
  <si>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</si>
  <si>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</si>
  <si>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</si>
  <si>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</si>
  <si>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</si>
  <si>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</si>
  <si>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</si>
  <si>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</si>
  <si>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</si>
  <si>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</si>
  <si>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</si>
  <si>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</si>
  <si>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</si>
  <si>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</si>
  <si>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</si>
  <si>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</si>
  <si>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</si>
  <si>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</si>
  <si>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</si>
  <si>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</si>
  <si>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</si>
  <si>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</si>
  <si>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</si>
  <si>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</si>
  <si>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</si>
  <si>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</si>
  <si>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</si>
  <si>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</si>
  <si>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</si>
  <si>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</si>
  <si>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</si>
  <si>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</si>
  <si>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</si>
  <si>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</si>
  <si>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</si>
  <si>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</si>
  <si>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</si>
  <si>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</si>
  <si>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</si>
  <si>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</si>
  <si>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</si>
  <si>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</si>
  <si>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</si>
  <si>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</si>
  <si>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</si>
  <si>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</si>
  <si>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</si>
  <si>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</si>
  <si>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</si>
  <si>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</si>
  <si>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</si>
  <si>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</si>
  <si>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</si>
  <si>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</si>
  <si>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</si>
  <si>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</si>
  <si>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</si>
  <si>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</si>
  <si>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</si>
  <si>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</si>
  <si>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</si>
  <si>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</si>
  <si>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</si>
  <si>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</si>
  <si>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</si>
  <si>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</si>
  <si>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</si>
  <si>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</si>
  <si>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</si>
  <si>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</si>
  <si>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</si>
  <si>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</si>
  <si>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</si>
  <si>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</si>
  <si>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</si>
  <si>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</si>
  <si>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</si>
  <si>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</si>
  <si>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</si>
  <si>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</si>
  <si>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</si>
  <si>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</si>
  <si>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</si>
  <si>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</si>
  <si>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</si>
  <si>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</si>
  <si>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</si>
  <si>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</si>
  <si>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</si>
  <si>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</si>
  <si>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</si>
  <si>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</si>
  <si>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</si>
  <si>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</si>
  <si>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</si>
  <si>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</si>
  <si>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</si>
  <si>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</si>
  <si>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</si>
  <si>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</si>
  <si>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</si>
  <si>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</si>
  <si>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</si>
  <si>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</si>
  <si>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</si>
  <si>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</si>
  <si>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</si>
  <si>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</si>
  <si>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</si>
  <si>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</si>
  <si>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</si>
  <si>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</si>
  <si>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</si>
  <si>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</si>
  <si>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</si>
  <si>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</si>
  <si>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</si>
  <si>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</si>
  <si>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</si>
  <si>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</si>
  <si>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</si>
  <si>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</si>
  <si>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</si>
  <si>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</si>
  <si>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</si>
  <si>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</si>
  <si>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</si>
  <si>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</si>
  <si>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</si>
  <si>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</si>
  <si>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</si>
  <si>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</si>
  <si>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</si>
  <si>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</si>
  <si>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</si>
  <si>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</si>
  <si>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</si>
  <si>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</si>
  <si>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</si>
  <si>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</si>
  <si>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</si>
  <si>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</si>
  <si>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</si>
  <si>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</si>
  <si>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</si>
  <si>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</si>
  <si>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</si>
  <si>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</si>
  <si>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</si>
  <si>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</si>
  <si>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</si>
  <si>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</si>
  <si>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</si>
  <si>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</si>
  <si>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</si>
  <si>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</si>
  <si>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</si>
  <si>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</si>
  <si>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</si>
  <si>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</si>
  <si>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</si>
  <si>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</si>
  <si>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</si>
  <si>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</si>
  <si>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</si>
  <si>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</si>
  <si>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</si>
  <si>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</si>
  <si>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</si>
  <si>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</si>
  <si>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</si>
  <si>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</si>
  <si>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</si>
  <si>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</si>
  <si>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</si>
  <si>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</si>
  <si>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</si>
  <si>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</si>
  <si>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</si>
  <si>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</si>
  <si>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</si>
  <si>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</si>
  <si>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</si>
  <si>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</si>
  <si>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</si>
  <si>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</si>
  <si>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</si>
  <si>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</si>
  <si>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</si>
  <si>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</si>
  <si>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</si>
  <si>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</si>
  <si>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</si>
  <si>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</si>
  <si>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</si>
  <si>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</si>
  <si>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</si>
  <si>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</si>
  <si>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</si>
  <si>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</si>
  <si>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</si>
  <si>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</si>
  <si>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</si>
  <si>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</si>
  <si>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</si>
  <si>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</si>
  <si>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</si>
  <si>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</si>
  <si>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</si>
  <si>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</si>
  <si>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</si>
  <si>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</si>
  <si>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</si>
  <si>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</si>
  <si>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</si>
  <si>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</si>
  <si>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</si>
  <si>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</si>
  <si>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</si>
  <si>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</si>
  <si>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</si>
  <si>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</si>
  <si>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</si>
  <si>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</si>
  <si>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</si>
  <si>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</si>
  <si>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</si>
  <si>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</si>
  <si>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</si>
  <si>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</si>
  <si>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</si>
  <si>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</si>
  <si>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</si>
  <si>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</si>
  <si>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</si>
  <si>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</si>
  <si>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</si>
  <si>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</si>
  <si>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</si>
  <si>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</si>
  <si>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</si>
  <si>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</si>
  <si>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</si>
  <si>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</si>
  <si>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</si>
  <si>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</si>
  <si>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</si>
  <si>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</si>
  <si>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</si>
  <si>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</si>
  <si>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</si>
  <si>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</si>
  <si>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</si>
  <si>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</si>
  <si>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</si>
  <si>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</si>
  <si>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</si>
  <si>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</si>
  <si>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</si>
  <si>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</si>
  <si>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</si>
  <si>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</si>
  <si>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</si>
  <si>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</si>
  <si>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</si>
  <si>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</si>
  <si>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</si>
  <si>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</si>
  <si>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</si>
  <si>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</si>
  <si>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</si>
  <si>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</si>
  <si>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</si>
  <si>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</si>
  <si>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</si>
  <si>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</si>
  <si>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</si>
  <si>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</si>
  <si>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</si>
  <si>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</si>
  <si>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</si>
  <si>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</si>
  <si>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</si>
  <si>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</si>
  <si>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</si>
  <si>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</si>
  <si>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</si>
  <si>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</si>
  <si>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</si>
  <si>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</si>
  <si>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</si>
  <si>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</si>
  <si>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</si>
  <si>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</si>
  <si>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</si>
  <si>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</si>
  <si>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</si>
  <si>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</si>
  <si>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</si>
  <si>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</si>
  <si>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</si>
  <si>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</si>
  <si>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</si>
  <si>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</si>
  <si>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</si>
  <si>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</si>
  <si>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</si>
  <si>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</si>
  <si>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</si>
  <si>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</si>
  <si>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</si>
  <si>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</si>
  <si>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</si>
  <si>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</si>
  <si>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</si>
  <si>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</si>
  <si>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</si>
  <si>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</si>
  <si>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</si>
  <si>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</si>
  <si>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</si>
  <si>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</si>
  <si>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</si>
  <si>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</si>
  <si>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</si>
  <si>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</si>
  <si>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</si>
  <si>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</si>
  <si>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</si>
  <si>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</si>
  <si>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</si>
  <si>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</si>
  <si>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</si>
  <si>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</si>
  <si>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</si>
  <si>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</si>
  <si>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</si>
  <si>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</si>
  <si>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</si>
  <si>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</si>
  <si>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</si>
  <si>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</si>
  <si>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</si>
  <si>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</si>
  <si>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</si>
  <si>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</si>
  <si>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</si>
  <si>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</si>
  <si>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</si>
  <si>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</si>
  <si>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</si>
  <si>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</si>
  <si>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</si>
  <si>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</si>
  <si>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</si>
  <si>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</si>
  <si>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</si>
  <si>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</si>
  <si>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</si>
  <si>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</si>
  <si>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</si>
  <si>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</si>
  <si>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</si>
  <si>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</si>
  <si>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</si>
  <si>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</si>
  <si>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</si>
  <si>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</si>
  <si>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</si>
  <si>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</si>
  <si>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</si>
  <si>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</si>
  <si>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</si>
  <si>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</si>
  <si>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</si>
  <si>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</si>
  <si>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</si>
  <si>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</si>
  <si>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</si>
  <si>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</si>
  <si>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</si>
  <si>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</si>
  <si>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</si>
  <si>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</si>
  <si>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</si>
  <si>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</si>
  <si>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</si>
  <si>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</si>
  <si>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</si>
  <si>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</si>
  <si>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</si>
  <si>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</si>
  <si>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</si>
  <si>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</si>
  <si>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</si>
  <si>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</si>
  <si>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</si>
  <si>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</si>
  <si>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</si>
  <si>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</si>
  <si>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</si>
  <si>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</si>
  <si>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</si>
  <si>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</si>
  <si>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</si>
  <si>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</si>
  <si>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</si>
  <si>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</si>
  <si>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</si>
  <si>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</si>
  <si>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</si>
  <si>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</si>
  <si>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</si>
  <si>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</si>
  <si>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</si>
  <si>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</si>
  <si>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</si>
  <si>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</si>
  <si>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</si>
  <si>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</si>
  <si>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</si>
  <si>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</si>
  <si>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</si>
  <si>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</si>
  <si>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</si>
  <si>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</si>
  <si>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</si>
  <si>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</si>
  <si>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</si>
  <si>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</si>
  <si>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</si>
  <si>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</si>
  <si>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</si>
  <si>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</si>
  <si>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</si>
  <si>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</si>
  <si>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</si>
  <si>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</si>
  <si>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</si>
  <si>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</si>
  <si>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</si>
  <si>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</si>
  <si>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</si>
  <si>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</si>
  <si>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</si>
  <si>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</si>
  <si>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</si>
  <si>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</si>
  <si>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</si>
  <si>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</si>
  <si>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</si>
  <si>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</si>
  <si>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</si>
  <si>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</si>
  <si>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</si>
  <si>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</si>
  <si>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</si>
  <si>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</si>
  <si>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</si>
  <si>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</si>
  <si>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</si>
  <si>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</si>
  <si>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</si>
  <si>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</si>
  <si>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</si>
  <si>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</si>
  <si>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</si>
  <si>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</si>
  <si>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</si>
  <si>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</si>
  <si>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</si>
  <si>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</si>
  <si>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</si>
  <si>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</si>
  <si>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</si>
  <si>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</si>
  <si>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</si>
  <si>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</si>
  <si>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</si>
  <si>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</si>
  <si>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</si>
  <si>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</si>
  <si>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</si>
  <si>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</si>
  <si>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</si>
  <si>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</si>
  <si>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</si>
  <si>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</si>
  <si>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</si>
  <si>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</si>
  <si>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</si>
  <si>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</si>
  <si>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</si>
  <si>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</si>
  <si>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</si>
  <si>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</si>
  <si>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</si>
  <si>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</si>
  <si>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</si>
  <si>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</si>
  <si>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</si>
  <si>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</si>
  <si>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</si>
  <si>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</si>
  <si>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</si>
  <si>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</si>
  <si>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</si>
  <si>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</si>
  <si>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</si>
  <si>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</si>
  <si>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</si>
  <si>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</si>
  <si>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</si>
  <si>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</si>
  <si>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</si>
  <si>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</si>
  <si>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</si>
  <si>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</si>
  <si>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</si>
  <si>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</si>
  <si>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</si>
  <si>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</si>
  <si>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</si>
  <si>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</si>
  <si>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</si>
  <si>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</si>
  <si>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</si>
  <si>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</si>
  <si>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</si>
  <si>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</si>
  <si>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</si>
  <si>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</si>
  <si>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</si>
  <si>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</si>
  <si>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</si>
  <si>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</si>
  <si>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</si>
  <si>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</si>
  <si>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</si>
  <si>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</si>
  <si>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</si>
  <si>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</si>
  <si>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</si>
  <si>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</si>
  <si>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</si>
  <si>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</si>
  <si>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</si>
  <si>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</si>
  <si>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</si>
  <si>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</si>
  <si>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</si>
  <si>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</si>
  <si>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</si>
  <si>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</si>
  <si>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</si>
  <si>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</si>
  <si>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</si>
  <si>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</si>
  <si>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</si>
  <si>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</si>
  <si>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</si>
  <si>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</si>
  <si>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</si>
  <si>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</si>
  <si>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</si>
  <si>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</si>
  <si>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</si>
  <si>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</si>
  <si>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</si>
  <si>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</si>
  <si>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</si>
  <si>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</si>
  <si>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</si>
  <si>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</si>
  <si>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</si>
  <si>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</si>
  <si>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</si>
  <si>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</si>
  <si>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</si>
  <si>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</si>
  <si>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</si>
  <si>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</si>
  <si>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</si>
  <si>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</si>
  <si>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</si>
  <si>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</si>
  <si>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</si>
  <si>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</si>
  <si>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</si>
  <si>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</si>
  <si>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</si>
  <si>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</si>
  <si>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</si>
  <si>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</si>
  <si>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</si>
  <si>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</si>
  <si>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</si>
  <si>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</si>
  <si>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</si>
  <si>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</si>
  <si>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</si>
  <si>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</si>
  <si>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</si>
  <si>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</si>
  <si>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</si>
  <si>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</si>
  <si>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</si>
  <si>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</si>
  <si>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</si>
  <si>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</si>
  <si>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</si>
  <si>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</si>
  <si>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</si>
  <si>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</si>
  <si>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</si>
  <si>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</si>
  <si>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</si>
  <si>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</si>
  <si>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</si>
  <si>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</si>
  <si>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</si>
  <si>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</si>
  <si>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</si>
  <si>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</si>
  <si>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</si>
  <si>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</si>
  <si>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</si>
  <si>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</si>
  <si>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</si>
  <si>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</si>
  <si>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</si>
  <si>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</si>
  <si>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</si>
  <si>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</si>
  <si>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</si>
  <si>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</si>
  <si>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</si>
  <si>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</si>
  <si>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</si>
  <si>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</si>
  <si>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</si>
  <si>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</si>
  <si>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</si>
  <si>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</si>
  <si>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</si>
  <si>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</si>
  <si>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</si>
  <si>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</si>
  <si>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</si>
  <si>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</si>
  <si>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</si>
  <si>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</si>
  <si>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</si>
  <si>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</si>
  <si>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</si>
  <si>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</si>
  <si>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</si>
  <si>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</si>
  <si>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</si>
  <si>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</si>
  <si>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</si>
  <si>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</si>
  <si>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</si>
  <si>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</si>
  <si>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</si>
  <si>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</si>
  <si>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</si>
  <si>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</si>
  <si>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</si>
  <si>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</si>
  <si>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</si>
  <si>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</si>
  <si>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</si>
  <si>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</si>
  <si>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</si>
  <si>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</si>
  <si>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</si>
  <si>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</si>
  <si>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</si>
  <si>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</si>
  <si>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</si>
  <si>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</si>
  <si>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</si>
  <si>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</si>
  <si>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</si>
  <si>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</si>
  <si>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</si>
  <si>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</si>
  <si>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</si>
  <si>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</si>
  <si>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</si>
  <si>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</si>
  <si>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</si>
  <si>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</si>
  <si>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</si>
  <si>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</si>
  <si>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</si>
  <si>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</si>
  <si>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</si>
  <si>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</si>
  <si>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</si>
  <si>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</si>
  <si>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</si>
  <si>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</si>
  <si>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</si>
  <si>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</si>
  <si>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</si>
  <si>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</si>
  <si>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</si>
  <si>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</si>
  <si>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</si>
  <si>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</si>
  <si>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</si>
  <si>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</si>
  <si>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</si>
  <si>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</si>
  <si>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</si>
  <si>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</si>
  <si>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</si>
  <si>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</si>
  <si>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</si>
  <si>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</si>
  <si>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</si>
  <si>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</si>
  <si>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</si>
  <si>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</si>
  <si>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</si>
  <si>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</si>
  <si>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</si>
  <si>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</si>
  <si>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</si>
  <si>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</si>
  <si>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</si>
  <si>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</si>
  <si>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</si>
  <si>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</si>
  <si>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</si>
  <si>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</si>
  <si>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</si>
  <si>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</si>
  <si>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</si>
  <si>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</si>
  <si>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</si>
  <si>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</si>
  <si>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</si>
  <si>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</si>
  <si>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</si>
  <si>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</si>
  <si>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</si>
  <si>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</si>
  <si>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</si>
  <si>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</si>
  <si>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</si>
  <si>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</si>
  <si>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</si>
  <si>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</si>
  <si>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</si>
  <si>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</si>
  <si>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</si>
  <si>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</si>
  <si>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</si>
  <si>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</si>
  <si>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</si>
  <si>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</si>
  <si>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</si>
  <si>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</si>
  <si>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</si>
  <si>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</si>
  <si>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</si>
  <si>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</si>
  <si>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</si>
  <si>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</si>
  <si>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</si>
  <si>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</si>
  <si>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</si>
  <si>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</si>
  <si>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</si>
  <si>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</si>
  <si>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</si>
  <si>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</si>
  <si>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</si>
  <si>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</si>
  <si>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</si>
  <si>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</si>
  <si>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</si>
  <si>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</si>
  <si>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</si>
  <si>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</si>
  <si>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</si>
  <si>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</si>
  <si>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</si>
  <si>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</si>
  <si>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</si>
  <si>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</si>
  <si>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</si>
  <si>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</si>
  <si>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</si>
  <si>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</si>
  <si>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</si>
  <si>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</si>
  <si>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</si>
  <si>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</si>
  <si>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</si>
  <si>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</si>
  <si>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</si>
  <si>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</si>
  <si>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</si>
  <si>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</si>
  <si>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</si>
  <si>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</si>
  <si>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</si>
  <si>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</si>
  <si>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</si>
  <si>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</si>
  <si>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</si>
  <si>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</si>
  <si>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</si>
  <si>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</si>
  <si>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</si>
  <si>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</si>
  <si>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</si>
  <si>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</si>
  <si>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</si>
  <si>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</si>
  <si>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</si>
  <si>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</si>
  <si>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</si>
  <si>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</si>
  <si>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</si>
  <si>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</si>
  <si>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</si>
  <si>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</si>
  <si>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</si>
  <si>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</si>
  <si>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</si>
  <si>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</si>
  <si>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</si>
  <si>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</si>
  <si>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</si>
  <si>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</si>
  <si>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</si>
  <si>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</si>
  <si>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</si>
  <si>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</si>
  <si>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</si>
  <si>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</si>
  <si>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</si>
  <si>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</si>
  <si>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</si>
  <si>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</si>
  <si>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</si>
  <si>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</si>
  <si>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</si>
  <si>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</si>
  <si>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</si>
  <si>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</si>
  <si>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</si>
  <si>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</si>
  <si>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</si>
  <si>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</si>
  <si>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</si>
  <si>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</si>
  <si>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</si>
  <si>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</si>
  <si>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</si>
  <si>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</si>
  <si>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</si>
  <si>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</si>
  <si>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</si>
  <si>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</si>
  <si>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</si>
  <si>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</si>
  <si>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</si>
  <si>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</si>
  <si>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</si>
  <si>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</si>
  <si>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</si>
  <si>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</si>
  <si>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</si>
  <si>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</si>
  <si>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</si>
  <si>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</si>
  <si>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</si>
  <si>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</si>
  <si>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</si>
  <si>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</si>
  <si>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</si>
  <si>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</si>
  <si>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</si>
  <si>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</si>
  <si>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</si>
  <si>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</si>
  <si>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</si>
  <si>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</si>
  <si>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</si>
  <si>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</si>
  <si>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</si>
  <si>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</si>
  <si>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</si>
  <si>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</si>
  <si>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</si>
  <si>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</si>
  <si>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</si>
  <si>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</si>
  <si>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</si>
  <si>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</si>
  <si>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</si>
  <si>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</si>
  <si>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</si>
  <si>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</si>
  <si>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</si>
  <si>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</si>
  <si>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</si>
  <si>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</si>
  <si>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</si>
  <si>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</si>
  <si>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</si>
  <si>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</si>
  <si>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陈颖</t>
  </si>
  <si>
    <t>叶凌</t>
  </si>
  <si>
    <t>核定资产</t>
  </si>
  <si>
    <t>房地产市场价值</t>
  </si>
  <si>
    <t>北京市</t>
  </si>
  <si>
    <t>企业</t>
  </si>
  <si>
    <t>出让</t>
  </si>
  <si>
    <t>是</t>
  </si>
  <si>
    <t>地下</t>
  </si>
  <si>
    <t>车库</t>
  </si>
  <si>
    <t>仓储</t>
  </si>
  <si>
    <t>车库</t>
    <phoneticPr fontId="7" type="noConversion"/>
  </si>
  <si>
    <t>仓储</t>
    <phoneticPr fontId="7" type="noConversion"/>
  </si>
  <si>
    <t>成新度</t>
  </si>
  <si>
    <t>收益法</t>
  </si>
  <si>
    <t>收益法-仓储</t>
  </si>
  <si>
    <t>收益法-仓储</t>
    <phoneticPr fontId="16" type="noConversion"/>
  </si>
  <si>
    <t>收益法-车位</t>
  </si>
  <si>
    <t>收益法-车位</t>
    <phoneticPr fontId="16" type="noConversion"/>
  </si>
  <si>
    <t>成本法-仓储</t>
  </si>
  <si>
    <t>成本法-仓储</t>
    <phoneticPr fontId="16" type="noConversion"/>
  </si>
  <si>
    <t>售价</t>
  </si>
  <si>
    <t>826工程</t>
    <phoneticPr fontId="3" type="noConversion"/>
  </si>
  <si>
    <t>西红门</t>
    <phoneticPr fontId="3" type="noConversion"/>
  </si>
  <si>
    <t>新城·熙红印</t>
  </si>
  <si>
    <t>新城·熙红印</t>
    <phoneticPr fontId="3" type="noConversion"/>
  </si>
  <si>
    <t>首开龙湖熙悦宸著</t>
  </si>
  <si>
    <t>首开龙湖熙悦宸著</t>
    <phoneticPr fontId="3" type="noConversion"/>
  </si>
  <si>
    <t>鸿坤理想城曦望山</t>
  </si>
  <si>
    <t>鸿坤理想城曦望山</t>
    <phoneticPr fontId="3" type="noConversion"/>
  </si>
  <si>
    <t>正常</t>
  </si>
  <si>
    <t>车位</t>
  </si>
  <si>
    <t>车位</t>
    <phoneticPr fontId="32" type="noConversion"/>
  </si>
  <si>
    <t>40-50（含）</t>
  </si>
  <si>
    <t>30-40（含）</t>
  </si>
  <si>
    <t>容积率</t>
    <phoneticPr fontId="32" type="noConversion"/>
  </si>
  <si>
    <t>较好</t>
  </si>
  <si>
    <t>七通</t>
  </si>
  <si>
    <t>普通装修</t>
  </si>
  <si>
    <t>精装修</t>
    <phoneticPr fontId="32" type="noConversion"/>
  </si>
  <si>
    <t>毛坯</t>
    <phoneticPr fontId="32" type="noConversion"/>
  </si>
  <si>
    <t>甲级</t>
  </si>
  <si>
    <t>甲级</t>
    <phoneticPr fontId="32" type="noConversion"/>
  </si>
  <si>
    <t>住宅</t>
  </si>
  <si>
    <t>住宅</t>
    <phoneticPr fontId="32" type="noConversion"/>
  </si>
  <si>
    <t>地面停车位</t>
    <phoneticPr fontId="32" type="noConversion"/>
  </si>
  <si>
    <t>地下车位</t>
  </si>
  <si>
    <t>地下车位</t>
    <phoneticPr fontId="32" type="noConversion"/>
  </si>
  <si>
    <t>人防车位</t>
    <phoneticPr fontId="32" type="noConversion"/>
  </si>
  <si>
    <t>成交时间</t>
    <phoneticPr fontId="140" type="noConversion"/>
  </si>
  <si>
    <t>车位配比</t>
    <phoneticPr fontId="140" type="noConversion"/>
  </si>
  <si>
    <t>成交单价</t>
    <phoneticPr fontId="140" type="noConversion"/>
  </si>
  <si>
    <t>面积</t>
    <phoneticPr fontId="140" type="noConversion"/>
  </si>
  <si>
    <t>总价</t>
    <phoneticPr fontId="140" type="noConversion"/>
  </si>
  <si>
    <r>
      <t>1</t>
    </r>
    <r>
      <rPr>
        <sz val="11"/>
        <color theme="1"/>
        <rFont val="宋体"/>
        <family val="3"/>
        <charset val="134"/>
        <scheme val="minor"/>
      </rPr>
      <t>:1.2</t>
    </r>
    <phoneticPr fontId="140" type="noConversion"/>
  </si>
  <si>
    <t>总户数</t>
    <phoneticPr fontId="140" type="noConversion"/>
  </si>
  <si>
    <t>车位数</t>
    <phoneticPr fontId="140" type="noConversion"/>
  </si>
  <si>
    <r>
      <t>1</t>
    </r>
    <r>
      <rPr>
        <sz val="11"/>
        <color theme="1"/>
        <rFont val="宋体"/>
        <family val="3"/>
        <charset val="134"/>
        <scheme val="minor"/>
      </rPr>
      <t>:1</t>
    </r>
    <phoneticPr fontId="140" type="noConversion"/>
  </si>
  <si>
    <t>车位面积</t>
    <phoneticPr fontId="140" type="noConversion"/>
  </si>
  <si>
    <r>
      <t>1</t>
    </r>
    <r>
      <rPr>
        <sz val="11"/>
        <color theme="1"/>
        <rFont val="宋体"/>
        <family val="3"/>
        <charset val="134"/>
        <scheme val="minor"/>
      </rPr>
      <t>:0.75</t>
    </r>
    <phoneticPr fontId="140" type="noConversion"/>
  </si>
  <si>
    <t>估价对象</t>
    <phoneticPr fontId="140" type="noConversion"/>
  </si>
  <si>
    <r>
      <t>2</t>
    </r>
    <r>
      <rPr>
        <sz val="11"/>
        <color theme="1"/>
        <rFont val="宋体"/>
        <family val="3"/>
        <charset val="134"/>
        <scheme val="minor"/>
      </rPr>
      <t>022-2-025</t>
    </r>
    <phoneticPr fontId="140" type="noConversion"/>
  </si>
  <si>
    <t>1:1.3</t>
    <phoneticPr fontId="140" type="noConversion"/>
  </si>
  <si>
    <t>土地面积（㎡）</t>
    <phoneticPr fontId="140" type="noConversion"/>
  </si>
  <si>
    <t>出让部分</t>
    <phoneticPr fontId="140" type="noConversion"/>
  </si>
  <si>
    <t>划拨部分</t>
    <phoneticPr fontId="140" type="noConversion"/>
  </si>
  <si>
    <t>容积率</t>
    <phoneticPr fontId="140" type="noConversion"/>
  </si>
  <si>
    <t>楼号</t>
    <phoneticPr fontId="140" type="noConversion"/>
  </si>
  <si>
    <t>总建筑面积（㎡）</t>
    <phoneticPr fontId="140" type="noConversion"/>
  </si>
  <si>
    <t>地上建筑面积（㎡）</t>
    <phoneticPr fontId="140" type="noConversion"/>
  </si>
  <si>
    <t>其中</t>
    <phoneticPr fontId="140" type="noConversion"/>
  </si>
  <si>
    <t>地下建筑面积（㎡）</t>
    <phoneticPr fontId="140" type="noConversion"/>
  </si>
  <si>
    <t>人防</t>
    <phoneticPr fontId="140" type="noConversion"/>
  </si>
  <si>
    <t>住宅</t>
    <phoneticPr fontId="140" type="noConversion"/>
  </si>
  <si>
    <t>配套公共服务设施</t>
    <phoneticPr fontId="140" type="noConversion"/>
  </si>
  <si>
    <t>人防口部及其他</t>
    <phoneticPr fontId="140" type="noConversion"/>
  </si>
  <si>
    <t>非人防汽车库</t>
    <phoneticPr fontId="140" type="noConversion"/>
  </si>
  <si>
    <t>人防汽车库（平时汽车库）</t>
    <phoneticPr fontId="140" type="noConversion"/>
  </si>
  <si>
    <t>丙二类库房</t>
    <phoneticPr fontId="140" type="noConversion"/>
  </si>
  <si>
    <t>自行车库</t>
    <phoneticPr fontId="140" type="noConversion"/>
  </si>
  <si>
    <t>设备用房</t>
    <phoneticPr fontId="140" type="noConversion"/>
  </si>
  <si>
    <t>人防工程</t>
    <phoneticPr fontId="140" type="noConversion"/>
  </si>
  <si>
    <t>人防通道及口部面积</t>
    <phoneticPr fontId="140" type="noConversion"/>
  </si>
  <si>
    <t>地上</t>
    <phoneticPr fontId="140" type="noConversion"/>
  </si>
  <si>
    <t>商业（配套）</t>
    <phoneticPr fontId="140" type="noConversion"/>
  </si>
  <si>
    <t>1#住宅楼</t>
    <phoneticPr fontId="140" type="noConversion"/>
  </si>
  <si>
    <t>-</t>
    <phoneticPr fontId="140" type="noConversion"/>
  </si>
  <si>
    <t>办公（公共服务设施）</t>
    <phoneticPr fontId="140" type="noConversion"/>
  </si>
  <si>
    <r>
      <t>2#住宅楼</t>
    </r>
    <r>
      <rPr>
        <sz val="11"/>
        <color theme="1"/>
        <rFont val="宋体"/>
        <family val="3"/>
        <charset val="134"/>
        <scheme val="minor"/>
      </rPr>
      <t/>
    </r>
  </si>
  <si>
    <t>小计</t>
    <phoneticPr fontId="140" type="noConversion"/>
  </si>
  <si>
    <r>
      <t>3#住宅楼</t>
    </r>
    <r>
      <rPr>
        <sz val="11"/>
        <color theme="1"/>
        <rFont val="宋体"/>
        <family val="3"/>
        <charset val="134"/>
        <scheme val="minor"/>
      </rPr>
      <t/>
    </r>
    <phoneticPr fontId="140" type="noConversion"/>
  </si>
  <si>
    <t>地下</t>
    <phoneticPr fontId="140" type="noConversion"/>
  </si>
  <si>
    <t>地下办公（物业服务用房）</t>
    <phoneticPr fontId="140" type="noConversion"/>
  </si>
  <si>
    <r>
      <t>4#住宅楼</t>
    </r>
    <r>
      <rPr>
        <sz val="11"/>
        <color theme="1"/>
        <rFont val="宋体"/>
        <family val="3"/>
        <charset val="134"/>
        <scheme val="minor"/>
      </rPr>
      <t/>
    </r>
  </si>
  <si>
    <t>地下仓储（丙二类库房）</t>
    <phoneticPr fontId="140" type="noConversion"/>
  </si>
  <si>
    <r>
      <t>5#住宅楼</t>
    </r>
    <r>
      <rPr>
        <sz val="11"/>
        <color theme="1"/>
        <rFont val="宋体"/>
        <family val="3"/>
        <charset val="134"/>
        <scheme val="minor"/>
      </rPr>
      <t/>
    </r>
    <phoneticPr fontId="140" type="noConversion"/>
  </si>
  <si>
    <t>地下车库（非人防车库）</t>
    <phoneticPr fontId="140" type="noConversion"/>
  </si>
  <si>
    <r>
      <t>6#住宅楼</t>
    </r>
    <r>
      <rPr>
        <sz val="11"/>
        <color theme="1"/>
        <rFont val="宋体"/>
        <family val="3"/>
        <charset val="134"/>
        <scheme val="minor"/>
      </rPr>
      <t/>
    </r>
  </si>
  <si>
    <r>
      <t>7#住宅楼</t>
    </r>
    <r>
      <rPr>
        <sz val="11"/>
        <color theme="1"/>
        <rFont val="宋体"/>
        <family val="3"/>
        <charset val="134"/>
        <scheme val="minor"/>
      </rPr>
      <t/>
    </r>
    <phoneticPr fontId="140" type="noConversion"/>
  </si>
  <si>
    <t>合计</t>
    <phoneticPr fontId="140" type="noConversion"/>
  </si>
  <si>
    <t>8#配套楼</t>
    <phoneticPr fontId="140" type="noConversion"/>
  </si>
  <si>
    <t>9#分界室</t>
    <phoneticPr fontId="140" type="noConversion"/>
  </si>
  <si>
    <t>10#分界室</t>
    <phoneticPr fontId="140" type="noConversion"/>
  </si>
  <si>
    <t>11#分界室</t>
    <phoneticPr fontId="140" type="noConversion"/>
  </si>
  <si>
    <t>CK01#地下车库</t>
    <phoneticPr fontId="140" type="noConversion"/>
  </si>
  <si>
    <t>1#、2#楼梯间（1#人防出入口）</t>
    <phoneticPr fontId="140" type="noConversion"/>
  </si>
  <si>
    <t>3#、4#楼梯间（2#人防出入口）</t>
    <phoneticPr fontId="140" type="noConversion"/>
  </si>
  <si>
    <t>5#楼梯间（3#人防出入口）</t>
    <phoneticPr fontId="140" type="noConversion"/>
  </si>
  <si>
    <t>总计</t>
    <phoneticPr fontId="140" type="noConversion"/>
  </si>
  <si>
    <t>人防+非人防车位</t>
    <phoneticPr fontId="140" type="noConversion"/>
  </si>
  <si>
    <t>建筑类型</t>
    <phoneticPr fontId="32" type="noConversion"/>
  </si>
  <si>
    <t>押一</t>
  </si>
  <si>
    <t>比较法-车位</t>
  </si>
  <si>
    <t>现房</t>
  </si>
  <si>
    <t>项目局部</t>
  </si>
  <si>
    <t>元/平方米</t>
  </si>
  <si>
    <t>钢混</t>
  </si>
  <si>
    <t>非生产用房</t>
  </si>
  <si>
    <r>
      <rPr>
        <sz val="10"/>
        <color indexed="8"/>
        <rFont val="宋体"/>
        <family val="3"/>
        <charset val="134"/>
      </rPr>
      <t>万元</t>
    </r>
    <r>
      <rPr>
        <sz val="10"/>
        <color indexed="8"/>
        <rFont val="Arial"/>
        <family val="2"/>
      </rPr>
      <t>/</t>
    </r>
    <r>
      <rPr>
        <sz val="10"/>
        <color indexed="8"/>
        <rFont val="宋体"/>
        <family val="3"/>
        <charset val="134"/>
      </rPr>
      <t>个</t>
    </r>
    <phoneticPr fontId="8" type="noConversion"/>
  </si>
  <si>
    <t>比较法</t>
  </si>
  <si>
    <t>居住用地（指二类居住用地）</t>
  </si>
  <si>
    <t>自定义容积率</t>
  </si>
  <si>
    <t>不临58条商业街</t>
  </si>
  <si>
    <t>无</t>
  </si>
  <si>
    <t>1000米以外</t>
  </si>
  <si>
    <t>通路</t>
  </si>
  <si>
    <t>通电</t>
  </si>
  <si>
    <t>通讯</t>
  </si>
  <si>
    <t>通上水</t>
  </si>
  <si>
    <t>通下水</t>
  </si>
  <si>
    <t>通热</t>
  </si>
  <si>
    <t>燃气</t>
  </si>
  <si>
    <t>平整</t>
  </si>
  <si>
    <t>与级别开发程度一致</t>
  </si>
  <si>
    <t>按公示增长率计算</t>
  </si>
  <si>
    <t>容积率修正</t>
  </si>
  <si>
    <t>一般</t>
  </si>
  <si>
    <t>好</t>
  </si>
  <si>
    <t>车位</t>
    <phoneticPr fontId="140" type="noConversion"/>
  </si>
  <si>
    <t>库房</t>
    <phoneticPr fontId="140" type="noConversion"/>
  </si>
  <si>
    <t>总价(万元）</t>
    <phoneticPr fontId="140" type="noConversion"/>
  </si>
  <si>
    <t>总面积（平方米）</t>
    <phoneticPr fontId="140" type="noConversion"/>
  </si>
  <si>
    <t>个数（个）</t>
    <phoneticPr fontId="140" type="noConversion"/>
  </si>
  <si>
    <t>单个面积（平方米）</t>
    <phoneticPr fontId="140" type="noConversion"/>
  </si>
  <si>
    <t>单价（元/平方米）</t>
    <phoneticPr fontId="140" type="noConversion"/>
  </si>
  <si>
    <t>单个总价(万元）</t>
    <phoneticPr fontId="140" type="noConversion"/>
  </si>
  <si>
    <t>成本法-车位</t>
    <phoneticPr fontId="16" type="noConversion"/>
  </si>
  <si>
    <t xml:space="preserve">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</si>
</sst>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11"/>
      <color theme="0"/>
      <name val="Arial Unicode MS"/>
      <family val="2"/>
      <charset val="134"/>
    </font>
    <font>
      <sz val="11"/>
      <color theme="1"/>
      <name val="Arial Unicode MS"/>
      <family val="2"/>
      <charset val="134"/>
    </font>
    <font>
      <b/>
      <sz val="10"/>
      <color theme="0"/>
      <name val="Arial Unicode MS"/>
      <family val="2"/>
      <charset val="134"/>
    </font>
    <font>
      <sz val="10"/>
      <color theme="1"/>
      <name val="Arial Unicode MS"/>
      <family val="2"/>
      <charset val="134"/>
    </font>
    <font>
      <sz val="10"/>
      <color rgb="FFFF0000"/>
      <name val="Arial Unicode MS"/>
      <family val="2"/>
      <charset val="134"/>
    </font>
    <font>
      <sz val="10"/>
      <color indexed="8"/>
      <name val="Arial"/>
      <family val="3"/>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6" tint="0.7999816888943144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134" fillId="0" borderId="36" xfId="0"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0" fillId="0" borderId="0" xfId="0" applyNumberFormat="1" applyAlignment="1">
      <alignment horizontal="center" vertical="center"/>
    </xf>
    <xf numFmtId="0" fontId="98" fillId="0" borderId="0" xfId="0" applyNumberFormat="1" applyFont="1" applyAlignment="1">
      <alignment horizontal="center" vertical="center"/>
    </xf>
    <xf numFmtId="49" fontId="98" fillId="0" borderId="0" xfId="0" applyNumberFormat="1" applyFont="1" applyAlignment="1">
      <alignment horizontal="center" vertical="center"/>
    </xf>
    <xf numFmtId="14" fontId="0" fillId="0" borderId="0" xfId="0" applyNumberFormat="1" applyAlignment="1">
      <alignment horizontal="center" vertical="center"/>
    </xf>
    <xf numFmtId="179" fontId="255" fillId="20" borderId="1" xfId="0" applyNumberFormat="1" applyFont="1" applyFill="1" applyBorder="1" applyAlignment="1">
      <alignment horizontal="center" vertical="center" wrapText="1"/>
    </xf>
    <xf numFmtId="179" fontId="256" fillId="0" borderId="0" xfId="0" applyNumberFormat="1" applyFont="1" applyAlignment="1">
      <alignment horizontal="center" vertical="center" wrapText="1"/>
    </xf>
    <xf numFmtId="179" fontId="257" fillId="20" borderId="1" xfId="0" applyNumberFormat="1" applyFont="1" applyFill="1" applyBorder="1" applyAlignment="1">
      <alignment horizontal="center" vertical="center" wrapText="1"/>
    </xf>
    <xf numFmtId="179" fontId="257" fillId="8" borderId="1" xfId="0" applyNumberFormat="1" applyFont="1" applyFill="1" applyBorder="1" applyAlignment="1">
      <alignment horizontal="center" vertical="center" wrapText="1"/>
    </xf>
    <xf numFmtId="179" fontId="258" fillId="14" borderId="1" xfId="0" applyNumberFormat="1" applyFont="1" applyFill="1" applyBorder="1" applyAlignment="1">
      <alignment horizontal="center" vertical="center" wrapText="1"/>
    </xf>
    <xf numFmtId="179" fontId="258" fillId="21" borderId="1" xfId="0" applyNumberFormat="1" applyFont="1" applyFill="1" applyBorder="1" applyAlignment="1">
      <alignment horizontal="center" vertical="center" wrapText="1"/>
    </xf>
    <xf numFmtId="179" fontId="258" fillId="0" borderId="1" xfId="0" applyNumberFormat="1" applyFont="1" applyBorder="1" applyAlignment="1">
      <alignment horizontal="center" vertical="center" wrapText="1"/>
    </xf>
    <xf numFmtId="179" fontId="259" fillId="0" borderId="1" xfId="0" applyNumberFormat="1" applyFont="1" applyBorder="1" applyAlignment="1">
      <alignment horizontal="center" vertical="center" wrapText="1"/>
    </xf>
    <xf numFmtId="0" fontId="98" fillId="0" borderId="0" xfId="0" applyNumberFormat="1" applyFont="1" applyAlignment="1">
      <alignment horizontal="center" vertical="center" wrapText="1"/>
    </xf>
    <xf numFmtId="0" fontId="134" fillId="0" borderId="61"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179" fontId="46" fillId="6" borderId="23" xfId="0" applyNumberFormat="1" applyFont="1" applyFill="1" applyBorder="1" applyAlignment="1" applyProtection="1">
      <alignment horizontal="center" vertical="center"/>
    </xf>
    <xf numFmtId="0" fontId="46" fillId="5" borderId="5" xfId="0" applyFont="1" applyFill="1" applyBorder="1" applyAlignment="1" applyProtection="1">
      <alignment horizontal="right" vertical="center"/>
    </xf>
    <xf numFmtId="0" fontId="260" fillId="7" borderId="0" xfId="0" applyFont="1" applyFill="1" applyProtection="1">
      <alignment vertical="center"/>
      <protection locked="0"/>
    </xf>
    <xf numFmtId="0" fontId="0" fillId="0" borderId="0" xfId="0" applyAlignment="1">
      <alignment horizontal="center" vertical="center" wrapText="1"/>
    </xf>
    <xf numFmtId="0" fontId="0" fillId="0" borderId="1" xfId="0" applyBorder="1" applyAlignment="1">
      <alignment horizontal="center" vertical="center" wrapText="1"/>
    </xf>
    <xf numFmtId="0" fontId="98" fillId="0" borderId="1" xfId="0" applyFont="1" applyBorder="1" applyAlignment="1">
      <alignment horizontal="center" vertical="center" wrapText="1"/>
    </xf>
    <xf numFmtId="0" fontId="112" fillId="0" borderId="1" xfId="0" applyFont="1" applyBorder="1" applyAlignment="1">
      <alignment horizontal="center" vertical="center" wrapText="1"/>
    </xf>
    <xf numFmtId="0" fontId="98" fillId="0" borderId="0" xfId="0" applyFont="1" applyAlignment="1">
      <alignment horizontal="center" vertical="center" wrapText="1"/>
    </xf>
    <xf numFmtId="0" fontId="261" fillId="0" borderId="0" xfId="0" applyFont="1" applyAlignment="1">
      <alignment horizontal="center"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179" fontId="257" fillId="20" borderId="5" xfId="0" applyNumberFormat="1" applyFont="1" applyFill="1" applyBorder="1" applyAlignment="1">
      <alignment horizontal="center" vertical="center" wrapText="1"/>
    </xf>
    <xf numFmtId="179" fontId="257" fillId="20" borderId="3" xfId="0" applyNumberFormat="1" applyFont="1" applyFill="1" applyBorder="1" applyAlignment="1">
      <alignment horizontal="center" vertical="center" wrapText="1"/>
    </xf>
    <xf numFmtId="179" fontId="257" fillId="20" borderId="1" xfId="0" applyNumberFormat="1" applyFont="1" applyFill="1" applyBorder="1" applyAlignment="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46"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218" fillId="0" borderId="1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49" fillId="6" borderId="54" xfId="0" applyFont="1" applyFill="1" applyBorder="1" applyAlignment="1" applyProtection="1">
      <alignment horizontal="left"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72" fillId="0" borderId="23"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137585</xdr:colOff>
      <xdr:row>0</xdr:row>
      <xdr:rowOff>95250</xdr:rowOff>
    </xdr:from>
    <xdr:to>
      <xdr:col>29</xdr:col>
      <xdr:colOff>356914</xdr:colOff>
      <xdr:row>28</xdr:row>
      <xdr:rowOff>192174</xdr:rowOff>
    </xdr:to>
    <xdr:pic>
      <xdr:nvPicPr>
        <xdr:cNvPr id="2" name="图片 1">
          <a:extLst>
            <a:ext uri="{FF2B5EF4-FFF2-40B4-BE49-F238E27FC236}">
              <a16:creationId xmlns:a16="http://schemas.microsoft.com/office/drawing/2014/main" id="{A6ABBFA5-CC82-463A-B539-E7404A27DD53}"/>
            </a:ext>
          </a:extLst>
        </xdr:cNvPr>
        <xdr:cNvPicPr>
          <a:picLocks noChangeAspect="1"/>
        </xdr:cNvPicPr>
      </xdr:nvPicPr>
      <xdr:blipFill>
        <a:blip xmlns:r="http://schemas.openxmlformats.org/officeDocument/2006/relationships" r:embed="rId1"/>
        <a:stretch>
          <a:fillRect/>
        </a:stretch>
      </xdr:blipFill>
      <xdr:spPr>
        <a:xfrm>
          <a:off x="16453910" y="95250"/>
          <a:ext cx="6391529" cy="35259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9</xdr:row>
      <xdr:rowOff>156883</xdr:rowOff>
    </xdr:from>
    <xdr:to>
      <xdr:col>9</xdr:col>
      <xdr:colOff>959376</xdr:colOff>
      <xdr:row>12</xdr:row>
      <xdr:rowOff>150656</xdr:rowOff>
    </xdr:to>
    <xdr:pic>
      <xdr:nvPicPr>
        <xdr:cNvPr id="2" name="图片 1">
          <a:extLst>
            <a:ext uri="{FF2B5EF4-FFF2-40B4-BE49-F238E27FC236}">
              <a16:creationId xmlns:a16="http://schemas.microsoft.com/office/drawing/2014/main" id="{8851A2A5-F3AF-48DB-BB94-D27845F64BD6}"/>
            </a:ext>
          </a:extLst>
        </xdr:cNvPr>
        <xdr:cNvPicPr>
          <a:picLocks noChangeAspect="1"/>
        </xdr:cNvPicPr>
      </xdr:nvPicPr>
      <xdr:blipFill>
        <a:blip xmlns:r="http://schemas.openxmlformats.org/officeDocument/2006/relationships" r:embed="rId1"/>
        <a:stretch>
          <a:fillRect/>
        </a:stretch>
      </xdr:blipFill>
      <xdr:spPr>
        <a:xfrm>
          <a:off x="9525" y="1669677"/>
          <a:ext cx="7718204" cy="498038"/>
        </a:xfrm>
        <a:prstGeom prst="rect">
          <a:avLst/>
        </a:prstGeom>
      </xdr:spPr>
    </xdr:pic>
    <xdr:clientData/>
  </xdr:twoCellAnchor>
  <xdr:twoCellAnchor editAs="oneCell">
    <xdr:from>
      <xdr:col>0</xdr:col>
      <xdr:colOff>0</xdr:colOff>
      <xdr:row>12</xdr:row>
      <xdr:rowOff>156883</xdr:rowOff>
    </xdr:from>
    <xdr:to>
      <xdr:col>12</xdr:col>
      <xdr:colOff>217955</xdr:colOff>
      <xdr:row>21</xdr:row>
      <xdr:rowOff>45766</xdr:rowOff>
    </xdr:to>
    <xdr:pic>
      <xdr:nvPicPr>
        <xdr:cNvPr id="3" name="图片 2">
          <a:extLst>
            <a:ext uri="{FF2B5EF4-FFF2-40B4-BE49-F238E27FC236}">
              <a16:creationId xmlns:a16="http://schemas.microsoft.com/office/drawing/2014/main" id="{7DA50FF4-4A93-4154-B8C5-3F1C999DC99C}"/>
            </a:ext>
          </a:extLst>
        </xdr:cNvPr>
        <xdr:cNvPicPr>
          <a:picLocks noChangeAspect="1"/>
        </xdr:cNvPicPr>
      </xdr:nvPicPr>
      <xdr:blipFill>
        <a:blip xmlns:r="http://schemas.openxmlformats.org/officeDocument/2006/relationships" r:embed="rId2"/>
        <a:stretch>
          <a:fillRect/>
        </a:stretch>
      </xdr:blipFill>
      <xdr:spPr>
        <a:xfrm>
          <a:off x="0" y="2173942"/>
          <a:ext cx="9429190" cy="1401677"/>
        </a:xfrm>
        <a:prstGeom prst="rect">
          <a:avLst/>
        </a:prstGeom>
      </xdr:spPr>
    </xdr:pic>
    <xdr:clientData/>
  </xdr:twoCellAnchor>
  <xdr:twoCellAnchor editAs="oneCell">
    <xdr:from>
      <xdr:col>0</xdr:col>
      <xdr:colOff>38100</xdr:colOff>
      <xdr:row>29</xdr:row>
      <xdr:rowOff>55469</xdr:rowOff>
    </xdr:from>
    <xdr:to>
      <xdr:col>12</xdr:col>
      <xdr:colOff>103655</xdr:colOff>
      <xdr:row>43</xdr:row>
      <xdr:rowOff>17075</xdr:rowOff>
    </xdr:to>
    <xdr:pic>
      <xdr:nvPicPr>
        <xdr:cNvPr id="4" name="图片 3">
          <a:extLst>
            <a:ext uri="{FF2B5EF4-FFF2-40B4-BE49-F238E27FC236}">
              <a16:creationId xmlns:a16="http://schemas.microsoft.com/office/drawing/2014/main" id="{8CB98D5C-B941-4E40-8EA8-1B78E1E01F6C}"/>
            </a:ext>
          </a:extLst>
        </xdr:cNvPr>
        <xdr:cNvPicPr>
          <a:picLocks noChangeAspect="1"/>
        </xdr:cNvPicPr>
      </xdr:nvPicPr>
      <xdr:blipFill>
        <a:blip xmlns:r="http://schemas.openxmlformats.org/officeDocument/2006/relationships" r:embed="rId3"/>
        <a:stretch>
          <a:fillRect/>
        </a:stretch>
      </xdr:blipFill>
      <xdr:spPr>
        <a:xfrm>
          <a:off x="38100" y="4930028"/>
          <a:ext cx="9276790" cy="2314841"/>
        </a:xfrm>
        <a:prstGeom prst="rect">
          <a:avLst/>
        </a:prstGeom>
      </xdr:spPr>
    </xdr:pic>
    <xdr:clientData/>
  </xdr:twoCellAnchor>
  <xdr:twoCellAnchor editAs="oneCell">
    <xdr:from>
      <xdr:col>0</xdr:col>
      <xdr:colOff>0</xdr:colOff>
      <xdr:row>27</xdr:row>
      <xdr:rowOff>84045</xdr:rowOff>
    </xdr:from>
    <xdr:to>
      <xdr:col>10</xdr:col>
      <xdr:colOff>207419</xdr:colOff>
      <xdr:row>29</xdr:row>
      <xdr:rowOff>74477</xdr:rowOff>
    </xdr:to>
    <xdr:pic>
      <xdr:nvPicPr>
        <xdr:cNvPr id="5" name="图片 4">
          <a:extLst>
            <a:ext uri="{FF2B5EF4-FFF2-40B4-BE49-F238E27FC236}">
              <a16:creationId xmlns:a16="http://schemas.microsoft.com/office/drawing/2014/main" id="{654041A7-4822-493F-BF69-9FD8C1AD66FA}"/>
            </a:ext>
          </a:extLst>
        </xdr:cNvPr>
        <xdr:cNvPicPr>
          <a:picLocks noChangeAspect="1"/>
        </xdr:cNvPicPr>
      </xdr:nvPicPr>
      <xdr:blipFill>
        <a:blip xmlns:r="http://schemas.openxmlformats.org/officeDocument/2006/relationships" r:embed="rId4"/>
        <a:stretch>
          <a:fillRect/>
        </a:stretch>
      </xdr:blipFill>
      <xdr:spPr>
        <a:xfrm>
          <a:off x="0" y="4622427"/>
          <a:ext cx="8051537" cy="326609"/>
        </a:xfrm>
        <a:prstGeom prst="rect">
          <a:avLst/>
        </a:prstGeom>
      </xdr:spPr>
    </xdr:pic>
    <xdr:clientData/>
  </xdr:twoCellAnchor>
  <xdr:twoCellAnchor editAs="oneCell">
    <xdr:from>
      <xdr:col>0</xdr:col>
      <xdr:colOff>0</xdr:colOff>
      <xdr:row>43</xdr:row>
      <xdr:rowOff>38100</xdr:rowOff>
    </xdr:from>
    <xdr:to>
      <xdr:col>7</xdr:col>
      <xdr:colOff>171312</xdr:colOff>
      <xdr:row>46</xdr:row>
      <xdr:rowOff>76131</xdr:rowOff>
    </xdr:to>
    <xdr:pic>
      <xdr:nvPicPr>
        <xdr:cNvPr id="6" name="图片 5">
          <a:extLst>
            <a:ext uri="{FF2B5EF4-FFF2-40B4-BE49-F238E27FC236}">
              <a16:creationId xmlns:a16="http://schemas.microsoft.com/office/drawing/2014/main" id="{A36FD76C-753C-4A86-974F-605182BD5027}"/>
            </a:ext>
          </a:extLst>
        </xdr:cNvPr>
        <xdr:cNvPicPr>
          <a:picLocks noChangeAspect="1"/>
        </xdr:cNvPicPr>
      </xdr:nvPicPr>
      <xdr:blipFill>
        <a:blip xmlns:r="http://schemas.openxmlformats.org/officeDocument/2006/relationships" r:embed="rId5"/>
        <a:stretch>
          <a:fillRect/>
        </a:stretch>
      </xdr:blipFill>
      <xdr:spPr>
        <a:xfrm>
          <a:off x="0" y="7410450"/>
          <a:ext cx="5590476" cy="552381"/>
        </a:xfrm>
        <a:prstGeom prst="rect">
          <a:avLst/>
        </a:prstGeom>
      </xdr:spPr>
    </xdr:pic>
    <xdr:clientData/>
  </xdr:twoCellAnchor>
  <xdr:twoCellAnchor editAs="oneCell">
    <xdr:from>
      <xdr:col>0</xdr:col>
      <xdr:colOff>95251</xdr:colOff>
      <xdr:row>46</xdr:row>
      <xdr:rowOff>95250</xdr:rowOff>
    </xdr:from>
    <xdr:to>
      <xdr:col>12</xdr:col>
      <xdr:colOff>208430</xdr:colOff>
      <xdr:row>64</xdr:row>
      <xdr:rowOff>9525</xdr:rowOff>
    </xdr:to>
    <xdr:pic>
      <xdr:nvPicPr>
        <xdr:cNvPr id="7" name="图片 6">
          <a:extLst>
            <a:ext uri="{FF2B5EF4-FFF2-40B4-BE49-F238E27FC236}">
              <a16:creationId xmlns:a16="http://schemas.microsoft.com/office/drawing/2014/main" id="{7B539EFB-BAE8-48F7-922B-7EC467456DAA}"/>
            </a:ext>
          </a:extLst>
        </xdr:cNvPr>
        <xdr:cNvPicPr>
          <a:picLocks noChangeAspect="1"/>
        </xdr:cNvPicPr>
      </xdr:nvPicPr>
      <xdr:blipFill>
        <a:blip xmlns:r="http://schemas.openxmlformats.org/officeDocument/2006/relationships" r:embed="rId6"/>
        <a:stretch>
          <a:fillRect/>
        </a:stretch>
      </xdr:blipFill>
      <xdr:spPr>
        <a:xfrm>
          <a:off x="95251" y="7981950"/>
          <a:ext cx="9353549" cy="3000375"/>
        </a:xfrm>
        <a:prstGeom prst="rect">
          <a:avLst/>
        </a:prstGeom>
      </xdr:spPr>
    </xdr:pic>
    <xdr:clientData/>
  </xdr:twoCellAnchor>
  <xdr:twoCellAnchor editAs="oneCell">
    <xdr:from>
      <xdr:col>0</xdr:col>
      <xdr:colOff>0</xdr:colOff>
      <xdr:row>21</xdr:row>
      <xdr:rowOff>26895</xdr:rowOff>
    </xdr:from>
    <xdr:to>
      <xdr:col>12</xdr:col>
      <xdr:colOff>141755</xdr:colOff>
      <xdr:row>23</xdr:row>
      <xdr:rowOff>166347</xdr:rowOff>
    </xdr:to>
    <xdr:pic>
      <xdr:nvPicPr>
        <xdr:cNvPr id="8" name="图片 7">
          <a:extLst>
            <a:ext uri="{FF2B5EF4-FFF2-40B4-BE49-F238E27FC236}">
              <a16:creationId xmlns:a16="http://schemas.microsoft.com/office/drawing/2014/main" id="{300198EB-779F-4652-8D70-7AC891E403BB}"/>
            </a:ext>
          </a:extLst>
        </xdr:cNvPr>
        <xdr:cNvPicPr>
          <a:picLocks noChangeAspect="1"/>
        </xdr:cNvPicPr>
      </xdr:nvPicPr>
      <xdr:blipFill>
        <a:blip xmlns:r="http://schemas.openxmlformats.org/officeDocument/2006/relationships" r:embed="rId7"/>
        <a:stretch>
          <a:fillRect/>
        </a:stretch>
      </xdr:blipFill>
      <xdr:spPr>
        <a:xfrm>
          <a:off x="0" y="3556748"/>
          <a:ext cx="9352990" cy="475628"/>
        </a:xfrm>
        <a:prstGeom prst="rect">
          <a:avLst/>
        </a:prstGeom>
      </xdr:spPr>
    </xdr:pic>
    <xdr:clientData/>
  </xdr:twoCellAnchor>
  <xdr:twoCellAnchor editAs="oneCell">
    <xdr:from>
      <xdr:col>0</xdr:col>
      <xdr:colOff>1</xdr:colOff>
      <xdr:row>23</xdr:row>
      <xdr:rowOff>156883</xdr:rowOff>
    </xdr:from>
    <xdr:to>
      <xdr:col>12</xdr:col>
      <xdr:colOff>94131</xdr:colOff>
      <xdr:row>26</xdr:row>
      <xdr:rowOff>103038</xdr:rowOff>
    </xdr:to>
    <xdr:pic>
      <xdr:nvPicPr>
        <xdr:cNvPr id="9" name="图片 8">
          <a:extLst>
            <a:ext uri="{FF2B5EF4-FFF2-40B4-BE49-F238E27FC236}">
              <a16:creationId xmlns:a16="http://schemas.microsoft.com/office/drawing/2014/main" id="{E9619BC9-FD9B-461F-9EBB-2CD6A223228A}"/>
            </a:ext>
          </a:extLst>
        </xdr:cNvPr>
        <xdr:cNvPicPr>
          <a:picLocks noChangeAspect="1"/>
        </xdr:cNvPicPr>
      </xdr:nvPicPr>
      <xdr:blipFill>
        <a:blip xmlns:r="http://schemas.openxmlformats.org/officeDocument/2006/relationships" r:embed="rId8"/>
        <a:stretch>
          <a:fillRect/>
        </a:stretch>
      </xdr:blipFill>
      <xdr:spPr>
        <a:xfrm>
          <a:off x="1" y="4022912"/>
          <a:ext cx="9305365" cy="450420"/>
        </a:xfrm>
        <a:prstGeom prst="rect">
          <a:avLst/>
        </a:prstGeom>
      </xdr:spPr>
    </xdr:pic>
    <xdr:clientData/>
  </xdr:twoCellAnchor>
  <xdr:twoCellAnchor editAs="oneCell">
    <xdr:from>
      <xdr:col>13</xdr:col>
      <xdr:colOff>552449</xdr:colOff>
      <xdr:row>46</xdr:row>
      <xdr:rowOff>120720</xdr:rowOff>
    </xdr:from>
    <xdr:to>
      <xdr:col>23</xdr:col>
      <xdr:colOff>293976</xdr:colOff>
      <xdr:row>65</xdr:row>
      <xdr:rowOff>141723</xdr:rowOff>
    </xdr:to>
    <xdr:pic>
      <xdr:nvPicPr>
        <xdr:cNvPr id="10" name="图片 9">
          <a:extLst>
            <a:ext uri="{FF2B5EF4-FFF2-40B4-BE49-F238E27FC236}">
              <a16:creationId xmlns:a16="http://schemas.microsoft.com/office/drawing/2014/main" id="{B075B7CC-D77B-4A8C-896D-8FCA7C053CBC}"/>
            </a:ext>
          </a:extLst>
        </xdr:cNvPr>
        <xdr:cNvPicPr>
          <a:picLocks noChangeAspect="1"/>
        </xdr:cNvPicPr>
      </xdr:nvPicPr>
      <xdr:blipFill>
        <a:blip xmlns:r="http://schemas.openxmlformats.org/officeDocument/2006/relationships" r:embed="rId9"/>
        <a:stretch>
          <a:fillRect/>
        </a:stretch>
      </xdr:blipFill>
      <xdr:spPr>
        <a:xfrm>
          <a:off x="9467849" y="8007420"/>
          <a:ext cx="6599527" cy="3278553"/>
        </a:xfrm>
        <a:prstGeom prst="rect">
          <a:avLst/>
        </a:prstGeom>
      </xdr:spPr>
    </xdr:pic>
    <xdr:clientData/>
  </xdr:twoCellAnchor>
  <xdr:twoCellAnchor editAs="oneCell">
    <xdr:from>
      <xdr:col>13</xdr:col>
      <xdr:colOff>177613</xdr:colOff>
      <xdr:row>10</xdr:row>
      <xdr:rowOff>156883</xdr:rowOff>
    </xdr:from>
    <xdr:to>
      <xdr:col>25</xdr:col>
      <xdr:colOff>383472</xdr:colOff>
      <xdr:row>29</xdr:row>
      <xdr:rowOff>18260</xdr:rowOff>
    </xdr:to>
    <xdr:pic>
      <xdr:nvPicPr>
        <xdr:cNvPr id="11" name="图片 10">
          <a:extLst>
            <a:ext uri="{FF2B5EF4-FFF2-40B4-BE49-F238E27FC236}">
              <a16:creationId xmlns:a16="http://schemas.microsoft.com/office/drawing/2014/main" id="{F33DA550-A38E-4BC6-8858-7777EF9E4356}"/>
            </a:ext>
          </a:extLst>
        </xdr:cNvPr>
        <xdr:cNvPicPr>
          <a:picLocks noChangeAspect="1"/>
        </xdr:cNvPicPr>
      </xdr:nvPicPr>
      <xdr:blipFill>
        <a:blip xmlns:r="http://schemas.openxmlformats.org/officeDocument/2006/relationships" r:embed="rId10"/>
        <a:stretch>
          <a:fillRect/>
        </a:stretch>
      </xdr:blipFill>
      <xdr:spPr>
        <a:xfrm>
          <a:off x="9680201" y="1837765"/>
          <a:ext cx="8408565" cy="3055054"/>
        </a:xfrm>
        <a:prstGeom prst="rect">
          <a:avLst/>
        </a:prstGeom>
      </xdr:spPr>
    </xdr:pic>
    <xdr:clientData/>
  </xdr:twoCellAnchor>
  <xdr:twoCellAnchor editAs="oneCell">
    <xdr:from>
      <xdr:col>13</xdr:col>
      <xdr:colOff>571500</xdr:colOff>
      <xdr:row>29</xdr:row>
      <xdr:rowOff>40322</xdr:rowOff>
    </xdr:from>
    <xdr:to>
      <xdr:col>25</xdr:col>
      <xdr:colOff>17638</xdr:colOff>
      <xdr:row>45</xdr:row>
      <xdr:rowOff>60647</xdr:rowOff>
    </xdr:to>
    <xdr:pic>
      <xdr:nvPicPr>
        <xdr:cNvPr id="12" name="图片 11">
          <a:extLst>
            <a:ext uri="{FF2B5EF4-FFF2-40B4-BE49-F238E27FC236}">
              <a16:creationId xmlns:a16="http://schemas.microsoft.com/office/drawing/2014/main" id="{DF88290C-3E60-4CDF-8CE5-3E0E33BDF5DC}"/>
            </a:ext>
          </a:extLst>
        </xdr:cNvPr>
        <xdr:cNvPicPr>
          <a:picLocks noChangeAspect="1"/>
        </xdr:cNvPicPr>
      </xdr:nvPicPr>
      <xdr:blipFill>
        <a:blip xmlns:r="http://schemas.openxmlformats.org/officeDocument/2006/relationships" r:embed="rId11"/>
        <a:stretch>
          <a:fillRect/>
        </a:stretch>
      </xdr:blipFill>
      <xdr:spPr>
        <a:xfrm>
          <a:off x="9457765" y="4914881"/>
          <a:ext cx="7648844" cy="2709737"/>
        </a:xfrm>
        <a:prstGeom prst="rect">
          <a:avLst/>
        </a:prstGeom>
      </xdr:spPr>
    </xdr:pic>
    <xdr:clientData/>
  </xdr:twoCellAnchor>
  <xdr:twoCellAnchor editAs="oneCell">
    <xdr:from>
      <xdr:col>10</xdr:col>
      <xdr:colOff>78440</xdr:colOff>
      <xdr:row>0</xdr:row>
      <xdr:rowOff>100854</xdr:rowOff>
    </xdr:from>
    <xdr:to>
      <xdr:col>15</xdr:col>
      <xdr:colOff>70170</xdr:colOff>
      <xdr:row>2</xdr:row>
      <xdr:rowOff>374107</xdr:rowOff>
    </xdr:to>
    <xdr:pic>
      <xdr:nvPicPr>
        <xdr:cNvPr id="14" name="图片 13">
          <a:extLst>
            <a:ext uri="{FF2B5EF4-FFF2-40B4-BE49-F238E27FC236}">
              <a16:creationId xmlns:a16="http://schemas.microsoft.com/office/drawing/2014/main" id="{1A0FC485-CC55-4DB7-865A-C548F6A8E5D5}"/>
            </a:ext>
          </a:extLst>
        </xdr:cNvPr>
        <xdr:cNvPicPr>
          <a:picLocks noChangeAspect="1"/>
        </xdr:cNvPicPr>
      </xdr:nvPicPr>
      <xdr:blipFill>
        <a:blip xmlns:r="http://schemas.openxmlformats.org/officeDocument/2006/relationships" r:embed="rId12"/>
        <a:stretch>
          <a:fillRect/>
        </a:stretch>
      </xdr:blipFill>
      <xdr:spPr>
        <a:xfrm>
          <a:off x="7922558" y="100854"/>
          <a:ext cx="3409524" cy="1371429"/>
        </a:xfrm>
        <a:prstGeom prst="rect">
          <a:avLst/>
        </a:prstGeom>
      </xdr:spPr>
    </xdr:pic>
    <xdr:clientData/>
  </xdr:twoCellAnchor>
  <xdr:twoCellAnchor editAs="oneCell">
    <xdr:from>
      <xdr:col>10</xdr:col>
      <xdr:colOff>11206</xdr:colOff>
      <xdr:row>3</xdr:row>
      <xdr:rowOff>56028</xdr:rowOff>
    </xdr:from>
    <xdr:to>
      <xdr:col>14</xdr:col>
      <xdr:colOff>638876</xdr:colOff>
      <xdr:row>5</xdr:row>
      <xdr:rowOff>138804</xdr:rowOff>
    </xdr:to>
    <xdr:pic>
      <xdr:nvPicPr>
        <xdr:cNvPr id="15" name="图片 14">
          <a:extLst>
            <a:ext uri="{FF2B5EF4-FFF2-40B4-BE49-F238E27FC236}">
              <a16:creationId xmlns:a16="http://schemas.microsoft.com/office/drawing/2014/main" id="{C77011AD-992C-493D-A840-0824719EA255}"/>
            </a:ext>
          </a:extLst>
        </xdr:cNvPr>
        <xdr:cNvPicPr>
          <a:picLocks noChangeAspect="1"/>
        </xdr:cNvPicPr>
      </xdr:nvPicPr>
      <xdr:blipFill>
        <a:blip xmlns:r="http://schemas.openxmlformats.org/officeDocument/2006/relationships" r:embed="rId13"/>
        <a:stretch>
          <a:fillRect/>
        </a:stretch>
      </xdr:blipFill>
      <xdr:spPr>
        <a:xfrm>
          <a:off x="7855324" y="1703293"/>
          <a:ext cx="3361905" cy="1180952"/>
        </a:xfrm>
        <a:prstGeom prst="rect">
          <a:avLst/>
        </a:prstGeom>
      </xdr:spPr>
    </xdr:pic>
    <xdr:clientData/>
  </xdr:twoCellAnchor>
  <xdr:twoCellAnchor editAs="oneCell">
    <xdr:from>
      <xdr:col>15</xdr:col>
      <xdr:colOff>100854</xdr:colOff>
      <xdr:row>0</xdr:row>
      <xdr:rowOff>168088</xdr:rowOff>
    </xdr:from>
    <xdr:to>
      <xdr:col>20</xdr:col>
      <xdr:colOff>73536</xdr:colOff>
      <xdr:row>2</xdr:row>
      <xdr:rowOff>469912</xdr:rowOff>
    </xdr:to>
    <xdr:pic>
      <xdr:nvPicPr>
        <xdr:cNvPr id="16" name="图片 15">
          <a:extLst>
            <a:ext uri="{FF2B5EF4-FFF2-40B4-BE49-F238E27FC236}">
              <a16:creationId xmlns:a16="http://schemas.microsoft.com/office/drawing/2014/main" id="{31BFD393-9C51-4D37-91DA-C7EF622924ED}"/>
            </a:ext>
          </a:extLst>
        </xdr:cNvPr>
        <xdr:cNvPicPr>
          <a:picLocks noChangeAspect="1"/>
        </xdr:cNvPicPr>
      </xdr:nvPicPr>
      <xdr:blipFill>
        <a:blip xmlns:r="http://schemas.openxmlformats.org/officeDocument/2006/relationships" r:embed="rId14"/>
        <a:stretch>
          <a:fillRect/>
        </a:stretch>
      </xdr:blipFill>
      <xdr:spPr>
        <a:xfrm>
          <a:off x="11362766" y="168088"/>
          <a:ext cx="3390476" cy="14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482607</xdr:colOff>
      <xdr:row>17</xdr:row>
      <xdr:rowOff>66675</xdr:rowOff>
    </xdr:to>
    <xdr:pic>
      <xdr:nvPicPr>
        <xdr:cNvPr id="2" name="图片 1">
          <a:extLst>
            <a:ext uri="{FF2B5EF4-FFF2-40B4-BE49-F238E27FC236}">
              <a16:creationId xmlns:a16="http://schemas.microsoft.com/office/drawing/2014/main" id="{78211BCB-B62E-4929-BFD0-88ECE1CDFB92}"/>
            </a:ext>
          </a:extLst>
        </xdr:cNvPr>
        <xdr:cNvPicPr>
          <a:picLocks noChangeAspect="1"/>
        </xdr:cNvPicPr>
      </xdr:nvPicPr>
      <xdr:blipFill>
        <a:blip xmlns:r="http://schemas.openxmlformats.org/officeDocument/2006/relationships" r:embed="rId1"/>
        <a:stretch>
          <a:fillRect/>
        </a:stretch>
      </xdr:blipFill>
      <xdr:spPr>
        <a:xfrm>
          <a:off x="1" y="0"/>
          <a:ext cx="5969006" cy="2981325"/>
        </a:xfrm>
        <a:prstGeom prst="rect">
          <a:avLst/>
        </a:prstGeom>
      </xdr:spPr>
    </xdr:pic>
    <xdr:clientData/>
  </xdr:twoCellAnchor>
  <xdr:twoCellAnchor editAs="oneCell">
    <xdr:from>
      <xdr:col>0</xdr:col>
      <xdr:colOff>0</xdr:colOff>
      <xdr:row>17</xdr:row>
      <xdr:rowOff>66675</xdr:rowOff>
    </xdr:from>
    <xdr:to>
      <xdr:col>8</xdr:col>
      <xdr:colOff>528213</xdr:colOff>
      <xdr:row>35</xdr:row>
      <xdr:rowOff>66675</xdr:rowOff>
    </xdr:to>
    <xdr:pic>
      <xdr:nvPicPr>
        <xdr:cNvPr id="3" name="图片 2">
          <a:extLst>
            <a:ext uri="{FF2B5EF4-FFF2-40B4-BE49-F238E27FC236}">
              <a16:creationId xmlns:a16="http://schemas.microsoft.com/office/drawing/2014/main" id="{DC26A7B2-7C56-4856-A276-4641AB58F468}"/>
            </a:ext>
          </a:extLst>
        </xdr:cNvPr>
        <xdr:cNvPicPr>
          <a:picLocks noChangeAspect="1"/>
        </xdr:cNvPicPr>
      </xdr:nvPicPr>
      <xdr:blipFill>
        <a:blip xmlns:r="http://schemas.openxmlformats.org/officeDocument/2006/relationships" r:embed="rId2"/>
        <a:stretch>
          <a:fillRect/>
        </a:stretch>
      </xdr:blipFill>
      <xdr:spPr>
        <a:xfrm>
          <a:off x="0" y="2981325"/>
          <a:ext cx="6014613" cy="3086100"/>
        </a:xfrm>
        <a:prstGeom prst="rect">
          <a:avLst/>
        </a:prstGeom>
      </xdr:spPr>
    </xdr:pic>
    <xdr:clientData/>
  </xdr:twoCellAnchor>
  <xdr:twoCellAnchor editAs="oneCell">
    <xdr:from>
      <xdr:col>0</xdr:col>
      <xdr:colOff>0</xdr:colOff>
      <xdr:row>53</xdr:row>
      <xdr:rowOff>0</xdr:rowOff>
    </xdr:from>
    <xdr:to>
      <xdr:col>13</xdr:col>
      <xdr:colOff>75076</xdr:colOff>
      <xdr:row>62</xdr:row>
      <xdr:rowOff>171236</xdr:rowOff>
    </xdr:to>
    <xdr:pic>
      <xdr:nvPicPr>
        <xdr:cNvPr id="4" name="图片 3">
          <a:extLst>
            <a:ext uri="{FF2B5EF4-FFF2-40B4-BE49-F238E27FC236}">
              <a16:creationId xmlns:a16="http://schemas.microsoft.com/office/drawing/2014/main" id="{1FD5EE5F-F90F-4B4B-BA6C-BCB1103ACAE7}"/>
            </a:ext>
          </a:extLst>
        </xdr:cNvPr>
        <xdr:cNvPicPr>
          <a:picLocks noChangeAspect="1"/>
        </xdr:cNvPicPr>
      </xdr:nvPicPr>
      <xdr:blipFill>
        <a:blip xmlns:r="http://schemas.openxmlformats.org/officeDocument/2006/relationships" r:embed="rId3"/>
        <a:stretch>
          <a:fillRect/>
        </a:stretch>
      </xdr:blipFill>
      <xdr:spPr>
        <a:xfrm>
          <a:off x="0" y="9086850"/>
          <a:ext cx="8990476" cy="17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266700</xdr:colOff>
      <xdr:row>12</xdr:row>
      <xdr:rowOff>137055</xdr:rowOff>
    </xdr:to>
    <xdr:pic>
      <xdr:nvPicPr>
        <xdr:cNvPr id="2" name="图片 1">
          <a:extLst>
            <a:ext uri="{FF2B5EF4-FFF2-40B4-BE49-F238E27FC236}">
              <a16:creationId xmlns:a16="http://schemas.microsoft.com/office/drawing/2014/main" id="{377D1232-E11C-41D8-93A0-7EFAB8B1AE09}"/>
            </a:ext>
          </a:extLst>
        </xdr:cNvPr>
        <xdr:cNvPicPr>
          <a:picLocks noChangeAspect="1"/>
        </xdr:cNvPicPr>
      </xdr:nvPicPr>
      <xdr:blipFill>
        <a:blip xmlns:r="http://schemas.openxmlformats.org/officeDocument/2006/relationships" r:embed="rId1"/>
        <a:stretch>
          <a:fillRect/>
        </a:stretch>
      </xdr:blipFill>
      <xdr:spPr>
        <a:xfrm>
          <a:off x="0" y="1"/>
          <a:ext cx="6438900" cy="2194454"/>
        </a:xfrm>
        <a:prstGeom prst="rect">
          <a:avLst/>
        </a:prstGeom>
      </xdr:spPr>
    </xdr:pic>
    <xdr:clientData/>
  </xdr:twoCellAnchor>
  <xdr:twoCellAnchor editAs="oneCell">
    <xdr:from>
      <xdr:col>0</xdr:col>
      <xdr:colOff>0</xdr:colOff>
      <xdr:row>11</xdr:row>
      <xdr:rowOff>142875</xdr:rowOff>
    </xdr:from>
    <xdr:to>
      <xdr:col>10</xdr:col>
      <xdr:colOff>252704</xdr:colOff>
      <xdr:row>18</xdr:row>
      <xdr:rowOff>66675</xdr:rowOff>
    </xdr:to>
    <xdr:pic>
      <xdr:nvPicPr>
        <xdr:cNvPr id="3" name="图片 2">
          <a:extLst>
            <a:ext uri="{FF2B5EF4-FFF2-40B4-BE49-F238E27FC236}">
              <a16:creationId xmlns:a16="http://schemas.microsoft.com/office/drawing/2014/main" id="{490BD41C-B6AA-4EC5-856B-BCA045701D95}"/>
            </a:ext>
          </a:extLst>
        </xdr:cNvPr>
        <xdr:cNvPicPr>
          <a:picLocks noChangeAspect="1"/>
        </xdr:cNvPicPr>
      </xdr:nvPicPr>
      <xdr:blipFill>
        <a:blip xmlns:r="http://schemas.openxmlformats.org/officeDocument/2006/relationships" r:embed="rId2"/>
        <a:stretch>
          <a:fillRect/>
        </a:stretch>
      </xdr:blipFill>
      <xdr:spPr>
        <a:xfrm>
          <a:off x="0" y="2028825"/>
          <a:ext cx="7110704" cy="1123950"/>
        </a:xfrm>
        <a:prstGeom prst="rect">
          <a:avLst/>
        </a:prstGeom>
      </xdr:spPr>
    </xdr:pic>
    <xdr:clientData/>
  </xdr:twoCellAnchor>
  <xdr:twoCellAnchor editAs="oneCell">
    <xdr:from>
      <xdr:col>0</xdr:col>
      <xdr:colOff>0</xdr:colOff>
      <xdr:row>18</xdr:row>
      <xdr:rowOff>161925</xdr:rowOff>
    </xdr:from>
    <xdr:to>
      <xdr:col>10</xdr:col>
      <xdr:colOff>219929</xdr:colOff>
      <xdr:row>39</xdr:row>
      <xdr:rowOff>104217</xdr:rowOff>
    </xdr:to>
    <xdr:pic>
      <xdr:nvPicPr>
        <xdr:cNvPr id="4" name="图片 3">
          <a:extLst>
            <a:ext uri="{FF2B5EF4-FFF2-40B4-BE49-F238E27FC236}">
              <a16:creationId xmlns:a16="http://schemas.microsoft.com/office/drawing/2014/main" id="{BB0D5512-050B-4788-AB89-9AFB23B4C3E5}"/>
            </a:ext>
          </a:extLst>
        </xdr:cNvPr>
        <xdr:cNvPicPr>
          <a:picLocks noChangeAspect="1"/>
        </xdr:cNvPicPr>
      </xdr:nvPicPr>
      <xdr:blipFill>
        <a:blip xmlns:r="http://schemas.openxmlformats.org/officeDocument/2006/relationships" r:embed="rId3"/>
        <a:stretch>
          <a:fillRect/>
        </a:stretch>
      </xdr:blipFill>
      <xdr:spPr>
        <a:xfrm>
          <a:off x="0" y="3248025"/>
          <a:ext cx="7077929" cy="3542742"/>
        </a:xfrm>
        <a:prstGeom prst="rect">
          <a:avLst/>
        </a:prstGeom>
      </xdr:spPr>
    </xdr:pic>
    <xdr:clientData/>
  </xdr:twoCellAnchor>
  <xdr:twoCellAnchor editAs="oneCell">
    <xdr:from>
      <xdr:col>0</xdr:col>
      <xdr:colOff>0</xdr:colOff>
      <xdr:row>40</xdr:row>
      <xdr:rowOff>0</xdr:rowOff>
    </xdr:from>
    <xdr:to>
      <xdr:col>12</xdr:col>
      <xdr:colOff>446590</xdr:colOff>
      <xdr:row>49</xdr:row>
      <xdr:rowOff>9331</xdr:rowOff>
    </xdr:to>
    <xdr:pic>
      <xdr:nvPicPr>
        <xdr:cNvPr id="5" name="图片 4">
          <a:extLst>
            <a:ext uri="{FF2B5EF4-FFF2-40B4-BE49-F238E27FC236}">
              <a16:creationId xmlns:a16="http://schemas.microsoft.com/office/drawing/2014/main" id="{0577B782-8D0C-4D21-80F3-E3021A0DA4A2}"/>
            </a:ext>
          </a:extLst>
        </xdr:cNvPr>
        <xdr:cNvPicPr>
          <a:picLocks noChangeAspect="1"/>
        </xdr:cNvPicPr>
      </xdr:nvPicPr>
      <xdr:blipFill>
        <a:blip xmlns:r="http://schemas.openxmlformats.org/officeDocument/2006/relationships" r:embed="rId4"/>
        <a:stretch>
          <a:fillRect/>
        </a:stretch>
      </xdr:blipFill>
      <xdr:spPr>
        <a:xfrm>
          <a:off x="0" y="6858000"/>
          <a:ext cx="8676190" cy="1552381"/>
        </a:xfrm>
        <a:prstGeom prst="rect">
          <a:avLst/>
        </a:prstGeom>
      </xdr:spPr>
    </xdr:pic>
    <xdr:clientData/>
  </xdr:twoCellAnchor>
  <xdr:twoCellAnchor editAs="oneCell">
    <xdr:from>
      <xdr:col>0</xdr:col>
      <xdr:colOff>0</xdr:colOff>
      <xdr:row>50</xdr:row>
      <xdr:rowOff>0</xdr:rowOff>
    </xdr:from>
    <xdr:to>
      <xdr:col>12</xdr:col>
      <xdr:colOff>637067</xdr:colOff>
      <xdr:row>58</xdr:row>
      <xdr:rowOff>37924</xdr:rowOff>
    </xdr:to>
    <xdr:pic>
      <xdr:nvPicPr>
        <xdr:cNvPr id="6" name="图片 5">
          <a:extLst>
            <a:ext uri="{FF2B5EF4-FFF2-40B4-BE49-F238E27FC236}">
              <a16:creationId xmlns:a16="http://schemas.microsoft.com/office/drawing/2014/main" id="{B4CBC27D-723C-4D7E-854C-921BCDCC4EF5}"/>
            </a:ext>
          </a:extLst>
        </xdr:cNvPr>
        <xdr:cNvPicPr>
          <a:picLocks noChangeAspect="1"/>
        </xdr:cNvPicPr>
      </xdr:nvPicPr>
      <xdr:blipFill>
        <a:blip xmlns:r="http://schemas.openxmlformats.org/officeDocument/2006/relationships" r:embed="rId5"/>
        <a:stretch>
          <a:fillRect/>
        </a:stretch>
      </xdr:blipFill>
      <xdr:spPr>
        <a:xfrm>
          <a:off x="0" y="8572500"/>
          <a:ext cx="8866667" cy="14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 ca="1">'预评函-封皮'!B46</f>
        <v>陈颖（注册号：0)、叶凌（注册号：1119970111)</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估价对象为北京市房地产，为所有。根据《国有土地使用证》[]，估价对象（分摊）出让国有建设用地使用权面积为10785.07平方米，建筑面积为20815.18平方米。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估价对象为北京市房地产,属开发建设的，该项目尚在开发建设中。根据《国有土地使用证》[]，估价对象（分摊）出让国有建设用地使用权面积为10785.07平方米，规划建筑面积为20815.18平方米。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2022年2月25日（评估专业人员实地查勘之日）</v>
      </c>
    </row>
    <row r="13" spans="1:2" s="1336" customFormat="1">
      <c r="A13" s="1334" t="s">
        <v>1135</v>
      </c>
      <c r="B13" s="1335" t="str">
        <f>'预评函-1'!A18</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t="e">
        <f ca="1">'预评函-2'!D5</f>
        <v>#REF!</v>
      </c>
    </row>
    <row r="21" spans="1:2" s="1336" customFormat="1">
      <c r="A21" s="1334" t="s">
        <v>1143</v>
      </c>
      <c r="B21" s="1335" t="e">
        <f ca="1">'预评函-2'!D7</f>
        <v>#REF!</v>
      </c>
    </row>
    <row r="22" spans="1:2" s="1336" customFormat="1">
      <c r="A22" s="1334" t="s">
        <v>1144</v>
      </c>
      <c r="B22" s="1335" t="e">
        <f ca="1">'预评函-2'!D6</f>
        <v>#REF!</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t="e">
        <f ca="1">'预评函-2'!D13</f>
        <v>#REF!</v>
      </c>
    </row>
    <row r="31" spans="1:2" s="1336" customFormat="1">
      <c r="A31" s="1334" t="s">
        <v>1182</v>
      </c>
      <c r="B31" s="1335" t="e">
        <f ca="1">'预评函-2'!D15</f>
        <v>#REF!</v>
      </c>
    </row>
    <row r="32" spans="1:2" s="1336" customFormat="1">
      <c r="A32" s="1334" t="s">
        <v>1149</v>
      </c>
      <c r="B32" s="1335" t="e">
        <f ca="1">'预评函-2'!D14</f>
        <v>#REF!</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20815.18</v>
      </c>
    </row>
    <row r="44" spans="1:2" s="1336" customFormat="1">
      <c r="A44" s="1334" t="s">
        <v>1181</v>
      </c>
      <c r="B44" s="1335" t="str">
        <f>'预评函-3'!C2</f>
        <v>(分摊)土地面积</v>
      </c>
    </row>
    <row r="45" spans="1:2" s="1336" customFormat="1">
      <c r="A45" s="1334" t="s">
        <v>1153</v>
      </c>
      <c r="B45" s="1335">
        <f>'预评函-3'!C4</f>
        <v>10785.07</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v>
      </c>
    </row>
    <row r="67" spans="1:2" s="1336" customFormat="1">
      <c r="A67" s="1334" t="s">
        <v>1177</v>
      </c>
      <c r="B67" s="1335" t="str">
        <f>'预评函-4'!A21</f>
        <v>——</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t="str">
        <f>'预评函-4'!A4</f>
        <v>陈颖</v>
      </c>
    </row>
    <row r="71" spans="1:2">
      <c r="A71" s="1334" t="s">
        <v>1169</v>
      </c>
      <c r="B71" s="1335">
        <f ca="1">'预评函-4'!B4</f>
        <v>0</v>
      </c>
    </row>
    <row r="72" spans="1:2">
      <c r="A72" s="1334" t="s">
        <v>1170</v>
      </c>
      <c r="B72" s="1343" t="str">
        <f>'预评函-4'!A5</f>
        <v>叶凌</v>
      </c>
    </row>
    <row r="73" spans="1:2" s="1330" customFormat="1" ht="15" thickBot="1">
      <c r="A73" s="1337" t="s">
        <v>1171</v>
      </c>
      <c r="B73" s="1338">
        <f ca="1">'预评函-4'!B5</f>
        <v>1119970111</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2" workbookViewId="0">
      <selection activeCell="B22" sqref="B22"/>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2977</v>
      </c>
      <c r="C17" s="1701"/>
    </row>
    <row r="18" spans="1:3">
      <c r="A18" s="1700" t="s">
        <v>1672</v>
      </c>
      <c r="B18" s="1700" t="s">
        <v>3122</v>
      </c>
      <c r="C18" s="1701"/>
    </row>
    <row r="19" spans="1:3">
      <c r="A19" s="1700" t="s">
        <v>1673</v>
      </c>
      <c r="B19" s="1700" t="s">
        <v>3145</v>
      </c>
      <c r="C19" s="1701"/>
    </row>
    <row r="20" spans="1:3">
      <c r="A20" s="1700" t="s">
        <v>1674</v>
      </c>
      <c r="B20" s="1700" t="s">
        <v>3143</v>
      </c>
      <c r="C20" s="1701"/>
    </row>
    <row r="21" spans="1:3">
      <c r="A21" s="1700" t="s">
        <v>1675</v>
      </c>
      <c r="B21" s="1700" t="s">
        <v>3147</v>
      </c>
      <c r="C21" s="1701"/>
    </row>
    <row r="22" spans="1:3">
      <c r="A22" s="1700" t="s">
        <v>1676</v>
      </c>
      <c r="B22" s="1700" t="s">
        <v>3273</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2"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2"/>
      <c r="B54" s="1708" t="s">
        <v>832</v>
      </c>
      <c r="C54" s="1705" t="s">
        <v>1189</v>
      </c>
    </row>
    <row r="55" spans="1:4">
      <c r="A55" s="3302"/>
      <c r="B55" s="1708" t="s">
        <v>833</v>
      </c>
      <c r="C55" s="1705" t="s">
        <v>1190</v>
      </c>
    </row>
    <row r="56" spans="1:4">
      <c r="A56" s="3302"/>
      <c r="B56" s="1708" t="s">
        <v>834</v>
      </c>
      <c r="C56" s="1705" t="s">
        <v>1194</v>
      </c>
    </row>
    <row r="57" spans="1:4">
      <c r="A57" s="3302"/>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0" zoomScaleNormal="100" zoomScaleSheetLayoutView="110" workbookViewId="0">
      <selection activeCell="G14" sqref="G1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2852</v>
      </c>
      <c r="B1" s="3311" t="str">
        <f>IF(B10="北京市","北京市",C10)&amp;F10&amp;IF('结果表-车位'!G1="在建","出让国有建设用地使用权及在建建筑物",IF('结果表-车位'!G1="土地","出让国有建设用地使用权",))&amp;B9&amp;"预评估"</f>
        <v>北京市房地产市场价值预评估</v>
      </c>
      <c r="C1" s="3312"/>
      <c r="D1" s="3312"/>
      <c r="E1" s="3312"/>
      <c r="F1" s="3312"/>
      <c r="G1" s="3312"/>
      <c r="H1" s="3312"/>
      <c r="I1" s="3313"/>
      <c r="J1" s="2666"/>
      <c r="K1" s="2561"/>
      <c r="L1" s="2562"/>
      <c r="M1" s="2562"/>
      <c r="N1" s="2563"/>
      <c r="O1" s="1730"/>
      <c r="P1" s="2563"/>
      <c r="Q1" s="2563"/>
      <c r="R1" s="2563"/>
      <c r="S1" s="1837" t="str">
        <f>IF(B10="北京市","北京市",C10)&amp;F10&amp;IF('结果表-车位'!G1="在建","出让国有建设用地使用权及在建建筑物房地产抵押价值",IF('结果表-车位'!G1="土地","出让国有建设用地使用权抵押价值",B9))</f>
        <v>北京市房地产市场价值</v>
      </c>
      <c r="T1" s="1900"/>
      <c r="U1" s="1900"/>
      <c r="V1" s="1900"/>
      <c r="W1" s="1900"/>
      <c r="X1" s="1900"/>
      <c r="Y1" s="1900"/>
      <c r="Z1" s="1900"/>
      <c r="AA1" s="1900"/>
      <c r="AB1" s="1900"/>
    </row>
    <row r="2" spans="1:28">
      <c r="A2" s="2560" t="s">
        <v>2853</v>
      </c>
      <c r="B2" s="2564"/>
      <c r="C2" s="2565"/>
      <c r="D2" s="2868"/>
      <c r="E2" s="2858"/>
      <c r="F2" s="2858"/>
      <c r="G2" s="2859"/>
      <c r="H2" s="2859"/>
      <c r="I2" s="2859"/>
      <c r="J2" s="2666"/>
      <c r="K2" s="2561"/>
      <c r="L2" s="2562"/>
      <c r="M2" s="2562"/>
      <c r="N2" s="2563"/>
      <c r="O2" s="1730"/>
      <c r="P2" s="2563"/>
      <c r="Q2" s="2563"/>
      <c r="R2" s="2563"/>
      <c r="S2" s="1837" t="str">
        <f>IF(B10="北京市","北京市",C10)&amp;F10&amp;IF('结果表-车位'!G1="在建","出让国有建设用地使用权及在建建筑物房地产",IF('结果表-车位'!G1="土地","出让国有建设用地使用权","房地产"))</f>
        <v>北京市房地产</v>
      </c>
      <c r="T2" s="1900"/>
      <c r="U2" s="1900"/>
      <c r="V2" s="1900"/>
      <c r="W2" s="1900"/>
      <c r="X2" s="1900"/>
      <c r="Y2" s="1900"/>
      <c r="Z2" s="1900"/>
      <c r="AA2" s="1900"/>
      <c r="AB2" s="1900"/>
    </row>
    <row r="3" spans="1:28">
      <c r="A3" s="307" t="s">
        <v>2854</v>
      </c>
      <c r="B3" s="2566">
        <v>44617</v>
      </c>
      <c r="C3" s="2567" t="s">
        <v>2855</v>
      </c>
      <c r="D3" s="2566">
        <f>B3</f>
        <v>44617</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1" t="s">
        <v>2856</v>
      </c>
      <c r="B4" s="2568" t="s">
        <v>3127</v>
      </c>
      <c r="C4" s="2569">
        <f ca="1">SUMIF(注册房地产估价师,B4,估价师及机构信息!B3:B24)</f>
        <v>0</v>
      </c>
      <c r="D4" s="2568" t="s">
        <v>3128</v>
      </c>
      <c r="E4" s="2570">
        <f ca="1">SUMIF(注册房地产估价师,D4,估价师及机构信息!B3:B24)</f>
        <v>1119970111</v>
      </c>
      <c r="F4" s="2568"/>
      <c r="G4" s="2570">
        <f>SUMIF(注册房地产估价师,F4,估价师及机构信息!B3:B24)</f>
        <v>0</v>
      </c>
      <c r="H4" s="2568"/>
      <c r="I4" s="2570">
        <f>SUMIF(注册房地产估价师,H4,估价师及机构信息!B3:B24)</f>
        <v>0</v>
      </c>
      <c r="J4" s="2634"/>
      <c r="K4" s="2571" t="str">
        <f ca="1">CONCATENATE(B4,"（注册号：",C4,")、",D4,"（注册号：",E4,")")</f>
        <v>陈颖（注册号：0)、叶凌（注册号：1119970111)</v>
      </c>
      <c r="L4" s="2562"/>
      <c r="M4" s="2562"/>
      <c r="N4" s="2563"/>
      <c r="O4" s="1730"/>
      <c r="P4" s="2563"/>
      <c r="Q4" s="2563"/>
      <c r="R4" s="2563"/>
      <c r="S4" s="1837"/>
      <c r="T4" s="1900"/>
      <c r="U4" s="1900"/>
      <c r="V4" s="1900"/>
      <c r="W4" s="1900"/>
      <c r="X4" s="1900"/>
      <c r="Y4" s="1900"/>
      <c r="Z4" s="1900"/>
      <c r="AA4" s="1900"/>
      <c r="AB4" s="1900"/>
    </row>
    <row r="5" spans="1:28" ht="13.5" thickTop="1">
      <c r="A5" s="2572" t="s">
        <v>2857</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2858</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2859</v>
      </c>
      <c r="B7" s="2580"/>
      <c r="C7" s="2578"/>
      <c r="D7" s="2579"/>
      <c r="E7" s="2858"/>
      <c r="F7" s="2860"/>
      <c r="G7" s="2860"/>
      <c r="H7" s="2860"/>
      <c r="I7" s="2860"/>
      <c r="J7" s="2634"/>
      <c r="K7" s="2811"/>
      <c r="L7" s="2808"/>
      <c r="M7" s="2808"/>
      <c r="N7" s="2634"/>
      <c r="O7" s="2645"/>
      <c r="P7" s="2634"/>
      <c r="Q7" s="2634"/>
      <c r="R7" s="2634"/>
    </row>
    <row r="8" spans="1:28">
      <c r="A8" s="2581" t="s">
        <v>2860</v>
      </c>
      <c r="B8" s="2582" t="s">
        <v>3129</v>
      </c>
      <c r="C8" s="2583"/>
      <c r="D8" s="3314" t="s">
        <v>2861</v>
      </c>
      <c r="E8" s="2584"/>
      <c r="F8" s="2585"/>
      <c r="G8" s="2859"/>
      <c r="H8" s="2859"/>
      <c r="I8" s="2859"/>
      <c r="J8" s="2634"/>
      <c r="K8" s="2809"/>
      <c r="L8" s="2808"/>
      <c r="M8" s="2808"/>
      <c r="N8" s="2634"/>
      <c r="O8" s="2645"/>
      <c r="P8" s="2634"/>
      <c r="Q8" s="2634"/>
      <c r="R8" s="2634"/>
    </row>
    <row r="9" spans="1:28" ht="13.5" thickBot="1">
      <c r="A9" s="2586" t="s">
        <v>2862</v>
      </c>
      <c r="B9" s="2587" t="s">
        <v>3130</v>
      </c>
      <c r="C9" s="2588"/>
      <c r="D9" s="3315"/>
      <c r="E9" s="2587"/>
      <c r="F9" s="2589"/>
      <c r="G9" s="2861"/>
      <c r="H9" s="2861"/>
      <c r="I9" s="2861"/>
      <c r="J9" s="2634"/>
      <c r="K9" s="2811"/>
      <c r="L9" s="2808"/>
      <c r="M9" s="2808"/>
      <c r="N9" s="2634"/>
      <c r="O9" s="2645"/>
      <c r="P9" s="2634"/>
      <c r="Q9" s="2634"/>
      <c r="R9" s="2634"/>
    </row>
    <row r="10" spans="1:28" ht="13.5" thickTop="1">
      <c r="A10" s="2590" t="s">
        <v>2863</v>
      </c>
      <c r="B10" s="2591" t="s">
        <v>3131</v>
      </c>
      <c r="C10" s="2592"/>
      <c r="D10" s="2575"/>
      <c r="E10" s="2593" t="s">
        <v>2864</v>
      </c>
      <c r="F10" s="2862"/>
      <c r="G10" s="2863"/>
      <c r="H10" s="2864"/>
      <c r="I10" s="2865"/>
      <c r="J10" s="2634"/>
      <c r="K10" s="2811"/>
      <c r="L10" s="2808"/>
      <c r="M10" s="2808"/>
      <c r="N10" s="2634"/>
      <c r="O10" s="2645"/>
      <c r="P10" s="2634"/>
      <c r="Q10" s="2634"/>
      <c r="R10" s="2634"/>
    </row>
    <row r="11" spans="1:28">
      <c r="A11" s="2594" t="s">
        <v>2865</v>
      </c>
      <c r="B11" s="2595" t="s">
        <v>3132</v>
      </c>
      <c r="C11" s="2596"/>
      <c r="D11" s="2597"/>
      <c r="E11" s="2563"/>
      <c r="F11" s="2563"/>
      <c r="G11" s="2563"/>
      <c r="H11" s="2563"/>
      <c r="I11" s="2563"/>
      <c r="J11" s="2634"/>
      <c r="K11" s="2811"/>
      <c r="L11" s="2808"/>
      <c r="M11" s="2808"/>
      <c r="N11" s="2634"/>
      <c r="O11" s="2645"/>
      <c r="P11" s="2634"/>
      <c r="Q11" s="2634"/>
      <c r="R11" s="2634"/>
    </row>
    <row r="12" spans="1:28">
      <c r="A12" s="2598" t="s">
        <v>2866</v>
      </c>
      <c r="B12" s="2595" t="s">
        <v>3133</v>
      </c>
      <c r="C12" s="328" t="s">
        <v>2867</v>
      </c>
      <c r="D12" s="2599" t="s">
        <v>2868</v>
      </c>
      <c r="E12" s="2599" t="s">
        <v>2869</v>
      </c>
      <c r="F12" s="2599" t="s">
        <v>2870</v>
      </c>
      <c r="G12" s="2599" t="s">
        <v>2871</v>
      </c>
      <c r="H12" s="2599" t="s">
        <v>2872</v>
      </c>
      <c r="I12" s="2599" t="s">
        <v>2873</v>
      </c>
      <c r="J12" s="2634"/>
      <c r="K12" s="2811"/>
      <c r="L12" s="2808"/>
      <c r="M12" s="2808"/>
      <c r="N12" s="2634"/>
      <c r="O12" s="2645"/>
      <c r="P12" s="2634"/>
      <c r="Q12" s="2634"/>
      <c r="R12" s="2634"/>
    </row>
    <row r="13" spans="1:28">
      <c r="A13" s="1212"/>
      <c r="B13" s="2600"/>
      <c r="C13" s="2601" t="s">
        <v>2874</v>
      </c>
      <c r="D13" s="964">
        <v>69899</v>
      </c>
      <c r="E13" s="964"/>
      <c r="F13" s="964"/>
      <c r="G13" s="964">
        <v>62594</v>
      </c>
      <c r="H13" s="964">
        <f>G13</f>
        <v>62594</v>
      </c>
      <c r="I13" s="964"/>
      <c r="J13" s="2634"/>
      <c r="K13" s="2811"/>
      <c r="L13" s="2808"/>
      <c r="M13" s="2808"/>
      <c r="N13" s="2634"/>
      <c r="O13" s="2645"/>
      <c r="P13" s="2634"/>
      <c r="Q13" s="2634"/>
      <c r="R13" s="2634"/>
    </row>
    <row r="14" spans="1:28">
      <c r="A14" s="1212"/>
      <c r="B14" s="2600"/>
      <c r="C14" s="2601" t="s">
        <v>2875</v>
      </c>
      <c r="D14" s="2602">
        <v>70</v>
      </c>
      <c r="E14" s="2602">
        <v>40</v>
      </c>
      <c r="F14" s="2602">
        <v>50</v>
      </c>
      <c r="G14" s="2602">
        <v>50</v>
      </c>
      <c r="H14" s="2602">
        <v>50</v>
      </c>
      <c r="I14" s="2602">
        <v>50</v>
      </c>
      <c r="J14" s="2634"/>
      <c r="K14" s="2812"/>
      <c r="L14" s="2808"/>
      <c r="M14" s="2808"/>
      <c r="N14" s="2634"/>
      <c r="O14" s="2645"/>
      <c r="P14" s="2634"/>
      <c r="Q14" s="2634"/>
      <c r="R14" s="2634"/>
    </row>
    <row r="15" spans="1:28">
      <c r="A15" s="325"/>
      <c r="B15" s="2603"/>
      <c r="C15" s="2604" t="s">
        <v>2876</v>
      </c>
      <c r="D15" s="2605">
        <f>IF(B12="出让",IF(D13="","",ROUNDDOWN(MIN((D13-$D$3)/365,D14),2)),D14)</f>
        <v>69.260000000000005</v>
      </c>
      <c r="E15" s="2605" t="str">
        <f>IF(B12="出让",IF(E13="","",ROUNDDOWN(MIN((E13-$D$3)/365,E14),2)),E14)</f>
        <v/>
      </c>
      <c r="F15" s="2605" t="str">
        <f>IF(B12="出让",IF(F13="","",ROUNDDOWN(MIN((F13-$D$3)/365,F14),2)),F14)</f>
        <v/>
      </c>
      <c r="G15" s="2605">
        <f>IF(B12="出让",IF(G13="","",ROUNDDOWN(MIN((G13-$D$3)/365,G14),2)),G14)</f>
        <v>49.25</v>
      </c>
      <c r="H15" s="2605">
        <f>IF(B12="出让",IF(H13="","",ROUNDDOWN(MIN((H13-$D$3)/365,H14),2)),H14)</f>
        <v>49.25</v>
      </c>
      <c r="I15" s="2605" t="str">
        <f>IF(B12="出让",IF(I13="","",ROUNDDOWN(MIN((I13-$D$3)/365,I14),2)),I14)</f>
        <v/>
      </c>
      <c r="J15" s="2634"/>
      <c r="K15" s="2813"/>
      <c r="L15" s="2646"/>
      <c r="M15" s="2646"/>
      <c r="N15" s="2704"/>
      <c r="O15" s="2646"/>
      <c r="P15" s="2704"/>
      <c r="Q15" s="2634"/>
      <c r="R15" s="2634"/>
    </row>
    <row r="16" spans="1:28">
      <c r="A16" s="2593" t="s">
        <v>2877</v>
      </c>
      <c r="B16" s="3321"/>
      <c r="C16" s="3322"/>
      <c r="D16" s="3323"/>
      <c r="E16" s="2608" t="s">
        <v>2878</v>
      </c>
      <c r="F16" s="3324"/>
      <c r="G16" s="3325"/>
      <c r="H16" s="3325"/>
      <c r="I16" s="3326"/>
      <c r="J16" s="2634"/>
      <c r="K16" s="2813"/>
      <c r="L16" s="2646"/>
      <c r="M16" s="2646"/>
      <c r="N16" s="2704"/>
      <c r="O16" s="2646"/>
      <c r="P16" s="2704"/>
      <c r="Q16" s="2634"/>
      <c r="R16" s="2634"/>
    </row>
    <row r="17" spans="1:28">
      <c r="A17" s="318" t="s">
        <v>2879</v>
      </c>
      <c r="B17" s="307" t="s">
        <v>2880</v>
      </c>
      <c r="C17" s="11">
        <f>'数据-汇总表'!E3</f>
        <v>20815.18</v>
      </c>
      <c r="D17" s="2514" t="s">
        <v>2881</v>
      </c>
      <c r="E17" s="3327" t="s">
        <v>2882</v>
      </c>
      <c r="F17" s="3328"/>
      <c r="G17" s="3328"/>
      <c r="H17" s="3328"/>
      <c r="I17" s="3329"/>
      <c r="J17" s="2634"/>
      <c r="K17" s="2814"/>
      <c r="L17" s="2646"/>
      <c r="M17" s="2646"/>
      <c r="N17" s="2704"/>
      <c r="O17" s="2646"/>
      <c r="P17" s="2704"/>
      <c r="Q17" s="2634"/>
      <c r="R17" s="2634"/>
      <c r="S17" s="2634"/>
      <c r="T17" s="2634"/>
      <c r="U17" s="2634"/>
      <c r="V17" s="2634"/>
    </row>
    <row r="18" spans="1:28" ht="24.75" thickBot="1">
      <c r="A18" s="2609" t="s">
        <v>2883</v>
      </c>
      <c r="B18" s="1221" t="s">
        <v>2884</v>
      </c>
      <c r="C18" s="2610">
        <f>'数据-汇总表'!D3</f>
        <v>10785.07</v>
      </c>
      <c r="D18" s="1223" t="s">
        <v>2885</v>
      </c>
      <c r="E18" s="3330" t="s">
        <v>2886</v>
      </c>
      <c r="F18" s="3331"/>
      <c r="G18" s="3331"/>
      <c r="H18" s="3331"/>
      <c r="I18" s="3332"/>
      <c r="J18" s="2634"/>
      <c r="K18" s="2814"/>
      <c r="L18" s="2646"/>
      <c r="M18" s="2646"/>
      <c r="N18" s="2704"/>
      <c r="O18" s="2646"/>
      <c r="P18" s="2704"/>
      <c r="Q18" s="2634"/>
      <c r="R18" s="2634"/>
      <c r="S18" s="2634"/>
      <c r="T18" s="2634"/>
      <c r="U18" s="2634"/>
      <c r="V18" s="2634"/>
    </row>
    <row r="19" spans="1:28" ht="37.5" thickTop="1" thickBot="1">
      <c r="A19" s="332" t="s">
        <v>1681</v>
      </c>
      <c r="B19" s="312" t="s">
        <v>2887</v>
      </c>
      <c r="C19" s="1717"/>
      <c r="D19" s="1718" t="s">
        <v>2888</v>
      </c>
      <c r="E19" s="1719"/>
      <c r="F19" s="1720" t="str">
        <f>IF(AND(C19="是",E19="否"),"是否提供他项权证或相关说明","")</f>
        <v/>
      </c>
      <c r="G19" s="1721"/>
      <c r="H19" s="2860"/>
      <c r="I19" s="2860"/>
      <c r="J19" s="2634"/>
      <c r="K19" s="2811"/>
      <c r="L19" s="2808"/>
      <c r="M19" s="2808"/>
      <c r="N19" s="2704"/>
      <c r="O19" s="2646"/>
      <c r="P19" s="2704"/>
      <c r="Q19" s="2634"/>
      <c r="R19" s="2634"/>
      <c r="S19" s="2634"/>
      <c r="T19" s="2634"/>
      <c r="U19" s="2634"/>
      <c r="V19" s="2634"/>
    </row>
    <row r="20" spans="1:28">
      <c r="A20" s="2828" t="s">
        <v>2889</v>
      </c>
      <c r="B20" s="3317" t="s">
        <v>2890</v>
      </c>
      <c r="C20" s="3318"/>
      <c r="D20" s="3319" t="s">
        <v>2891</v>
      </c>
      <c r="E20" s="3320"/>
      <c r="F20" s="2843" t="s">
        <v>1682</v>
      </c>
      <c r="G20" s="2860"/>
      <c r="H20" s="2860"/>
      <c r="I20" s="2860"/>
      <c r="J20" s="2634"/>
      <c r="K20" s="3316"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2893</v>
      </c>
      <c r="C21" s="2830" t="s">
        <v>1683</v>
      </c>
      <c r="D21" s="1722" t="s">
        <v>2894</v>
      </c>
      <c r="E21" s="2831" t="s">
        <v>1683</v>
      </c>
      <c r="F21" s="2844"/>
      <c r="G21" s="2860"/>
      <c r="H21" s="2860"/>
      <c r="I21" s="2860"/>
      <c r="J21" s="2634"/>
      <c r="K21" s="331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2895</v>
      </c>
      <c r="C22" s="2830" t="s">
        <v>1684</v>
      </c>
      <c r="D22" s="2859"/>
      <c r="E22" s="2859"/>
      <c r="F22" s="2859"/>
      <c r="G22" s="2860"/>
      <c r="H22" s="2860"/>
      <c r="I22" s="2860"/>
      <c r="J22" s="2634"/>
      <c r="K22" s="3316"/>
      <c r="L22" s="692" t="str">
        <f>IF(E19="否","",IF('结果表-车位'!D36="同一抵押权人同一抵押物续贷","由于本次评估为同一抵押权人的续贷房地产抵押估价，故未将已抵押担保的债权数额（"&amp;C26&amp;"）作为法定优先受偿款予以扣减。",IF('结果表-车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2896</v>
      </c>
      <c r="B23" s="2697" t="s">
        <v>2897</v>
      </c>
      <c r="C23" s="2834"/>
      <c r="D23" s="2835" t="s">
        <v>2897</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04" t="s">
        <v>2898</v>
      </c>
      <c r="B27" s="325" t="s">
        <v>2899</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304"/>
      <c r="B28" s="307" t="s">
        <v>2900</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304"/>
      <c r="B29" s="307" t="s">
        <v>2901</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305"/>
      <c r="B30" s="307" t="s">
        <v>2902</v>
      </c>
      <c r="C30" s="3306"/>
      <c r="D30" s="3307"/>
      <c r="E30" s="2860"/>
      <c r="F30" s="2860"/>
      <c r="G30" s="2860"/>
      <c r="H30" s="2860"/>
      <c r="I30" s="2860"/>
      <c r="J30" s="2634"/>
      <c r="K30" s="2811"/>
      <c r="L30" s="2808"/>
      <c r="M30" s="2808"/>
      <c r="N30" s="2634"/>
      <c r="O30" s="2645"/>
      <c r="P30" s="2634"/>
      <c r="Q30" s="2634"/>
      <c r="R30" s="2634"/>
      <c r="S30" s="2634"/>
      <c r="T30" s="2634"/>
      <c r="U30" s="2634"/>
      <c r="V30" s="2634"/>
    </row>
    <row r="31" spans="1:28">
      <c r="A31" s="3308" t="s">
        <v>2903</v>
      </c>
      <c r="B31" s="2617"/>
      <c r="C31" s="2515" t="str">
        <f>IF(B31="现房","成新及维护状况正常否",IF(B31="在建","工程状态是否正常",IF(B31="土地","是否闲置","-")))</f>
        <v>-</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09"/>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09"/>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7" t="s">
        <v>2904</v>
      </c>
      <c r="B34" s="2183"/>
      <c r="C34" s="2183"/>
      <c r="D34" s="2183"/>
      <c r="E34" s="2183"/>
      <c r="F34" s="2183"/>
      <c r="G34" s="2183"/>
      <c r="H34" s="2183"/>
      <c r="I34" s="2860"/>
      <c r="J34" s="2634"/>
      <c r="K34" s="2622">
        <f>COUNTIF(B34:H34,"——")</f>
        <v>0</v>
      </c>
      <c r="L34" s="328" t="s">
        <v>2905</v>
      </c>
      <c r="M34" s="328" t="s">
        <v>2906</v>
      </c>
      <c r="N34" s="328" t="s">
        <v>2907</v>
      </c>
      <c r="O34" s="328" t="s">
        <v>2908</v>
      </c>
      <c r="P34" s="328" t="s">
        <v>2909</v>
      </c>
      <c r="Q34" s="328" t="s">
        <v>2910</v>
      </c>
      <c r="R34" s="328" t="s">
        <v>2911</v>
      </c>
      <c r="S34" s="3303" t="s">
        <v>2912</v>
      </c>
      <c r="T34" s="2623" t="str">
        <f>NUMBERSTRING(7-K34,1)&amp;"通"</f>
        <v>七通</v>
      </c>
      <c r="U34" s="2634"/>
      <c r="V34" s="2634"/>
    </row>
    <row r="35" spans="1:30">
      <c r="A35" s="2624"/>
      <c r="B35" s="3310" t="s">
        <v>2913</v>
      </c>
      <c r="C35" s="3310"/>
      <c r="D35" s="3310"/>
      <c r="E35" s="3310"/>
      <c r="F35" s="672">
        <f>C10</f>
        <v>0</v>
      </c>
      <c r="G35" s="2860"/>
      <c r="H35" s="2860"/>
      <c r="I35" s="2860"/>
      <c r="J35" s="263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3"/>
      <c r="T35" s="334" t="str">
        <f>IF(T34="一通",L35,IF(T34="二通",M35,IF(T34="三通",N35,IF(T34="四通",O35,IF(T34="五通",P35,IF(T34="六通",Q35,R35))))))</f>
        <v>、、、、、、</v>
      </c>
      <c r="U35" s="2634"/>
      <c r="V35" s="2634"/>
    </row>
    <row r="36" spans="1:30">
      <c r="A36" s="2625"/>
      <c r="B36" s="672" t="s">
        <v>2869</v>
      </c>
      <c r="C36" s="672" t="s">
        <v>2870</v>
      </c>
      <c r="D36" s="672" t="s">
        <v>2868</v>
      </c>
      <c r="E36" s="672" t="s">
        <v>2873</v>
      </c>
      <c r="F36" s="2866"/>
      <c r="G36" s="2860"/>
      <c r="H36" s="2860"/>
      <c r="I36" s="2860"/>
      <c r="J36" s="2634"/>
      <c r="K36" s="2811"/>
      <c r="L36" s="2808"/>
      <c r="M36" s="2808"/>
      <c r="N36" s="2634"/>
      <c r="O36" s="2645"/>
      <c r="P36" s="2634"/>
      <c r="Q36" s="2634"/>
      <c r="R36" s="2634"/>
      <c r="S36" s="2634"/>
      <c r="T36" s="2634"/>
      <c r="U36" s="2634"/>
      <c r="V36" s="2634"/>
    </row>
    <row r="37" spans="1:30">
      <c r="A37" s="2826" t="s">
        <v>2914</v>
      </c>
      <c r="B37" s="2626" t="s">
        <v>526</v>
      </c>
      <c r="C37" s="2626" t="s">
        <v>526</v>
      </c>
      <c r="D37" s="2626" t="s">
        <v>526</v>
      </c>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2915</v>
      </c>
      <c r="B38" s="2627" t="s">
        <v>396</v>
      </c>
      <c r="C38" s="2627" t="s">
        <v>396</v>
      </c>
      <c r="D38" s="2627" t="s">
        <v>396</v>
      </c>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2916</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2917</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8" t="s">
        <v>2918</v>
      </c>
      <c r="B42" s="11" t="s">
        <v>2919</v>
      </c>
      <c r="C42" s="11" t="s">
        <v>2920</v>
      </c>
      <c r="D42" s="11" t="s">
        <v>2921</v>
      </c>
      <c r="E42" s="11" t="s">
        <v>2922</v>
      </c>
      <c r="F42" s="11" t="s">
        <v>2923</v>
      </c>
      <c r="G42" s="11" t="s">
        <v>2924</v>
      </c>
      <c r="H42" s="11" t="s">
        <v>2925</v>
      </c>
      <c r="I42" s="11" t="s">
        <v>2926</v>
      </c>
      <c r="J42" s="2822" t="s">
        <v>2927</v>
      </c>
      <c r="K42" s="2823" t="s">
        <v>2928</v>
      </c>
      <c r="L42" s="2823" t="s">
        <v>2929</v>
      </c>
      <c r="M42" s="2823" t="s">
        <v>2930</v>
      </c>
      <c r="N42" s="2816" t="s">
        <v>2931</v>
      </c>
      <c r="O42" s="2816" t="s">
        <v>2932</v>
      </c>
      <c r="P42" s="2816" t="s">
        <v>2933</v>
      </c>
      <c r="Q42" s="2817" t="s">
        <v>2934</v>
      </c>
      <c r="R42" s="2817" t="s">
        <v>2935</v>
      </c>
      <c r="S42" s="2634"/>
      <c r="T42" s="2634"/>
      <c r="U42" s="2634"/>
      <c r="V42" s="2634"/>
    </row>
    <row r="43" spans="1:30" s="1898" customFormat="1">
      <c r="A43" s="1724"/>
      <c r="B43" s="1181"/>
      <c r="C43" s="1181"/>
      <c r="D43" s="1181"/>
      <c r="E43" s="1181"/>
      <c r="F43" s="1181"/>
      <c r="G43" s="1181"/>
      <c r="H43" s="1181"/>
      <c r="I43" s="1181"/>
      <c r="J43" s="2632"/>
      <c r="K43" s="2633"/>
      <c r="L43" s="2633"/>
      <c r="M43" s="1181"/>
      <c r="N43" s="1181"/>
      <c r="O43" s="1181"/>
      <c r="P43" s="1181"/>
      <c r="Q43" s="1181"/>
      <c r="R43" s="1181"/>
      <c r="S43" s="2634"/>
      <c r="T43" s="2634"/>
      <c r="U43" s="2634"/>
      <c r="V43" s="2634"/>
    </row>
    <row r="44" spans="1:30" s="1898" customFormat="1">
      <c r="A44" s="1724"/>
      <c r="B44" s="1724"/>
      <c r="C44" s="1181"/>
      <c r="D44" s="1181"/>
      <c r="E44" s="1181"/>
      <c r="F44" s="1181"/>
      <c r="G44" s="1181"/>
      <c r="H44" s="1181"/>
      <c r="I44" s="1181"/>
      <c r="J44" s="2632"/>
      <c r="K44" s="2633"/>
      <c r="L44" s="2633"/>
      <c r="M44" s="1181"/>
      <c r="N44" s="1181"/>
      <c r="O44" s="1181"/>
      <c r="P44" s="1181"/>
      <c r="Q44" s="1181"/>
      <c r="R44" s="1181"/>
      <c r="S44" s="2634"/>
      <c r="T44" s="2634"/>
      <c r="U44" s="2634"/>
      <c r="V44" s="2634"/>
    </row>
    <row r="45" spans="1:30" s="1898" customFormat="1">
      <c r="A45" s="1724"/>
      <c r="B45" s="1724"/>
      <c r="C45" s="1181"/>
      <c r="D45" s="1181"/>
      <c r="E45" s="1181"/>
      <c r="F45" s="1181"/>
      <c r="G45" s="1181"/>
      <c r="H45" s="1181"/>
      <c r="I45" s="1181"/>
      <c r="J45" s="2632"/>
      <c r="K45" s="2633"/>
      <c r="L45" s="2633"/>
      <c r="M45" s="1181"/>
      <c r="N45" s="1181"/>
      <c r="O45" s="1181"/>
      <c r="P45" s="1181"/>
      <c r="Q45" s="1181"/>
      <c r="R45" s="1181"/>
      <c r="S45" s="2634"/>
      <c r="T45" s="2634"/>
      <c r="U45" s="2634"/>
      <c r="V45" s="2634"/>
    </row>
    <row r="46" spans="1:30" s="1898" customFormat="1">
      <c r="A46" s="1724"/>
      <c r="B46" s="1724"/>
      <c r="C46" s="1181"/>
      <c r="D46" s="1181"/>
      <c r="E46" s="1181"/>
      <c r="F46" s="1181"/>
      <c r="G46" s="1181"/>
      <c r="H46" s="1181"/>
      <c r="I46" s="1181"/>
      <c r="J46" s="2632"/>
      <c r="K46" s="2633"/>
      <c r="L46" s="2633"/>
      <c r="M46" s="1181"/>
      <c r="N46" s="1181"/>
      <c r="O46" s="1181"/>
      <c r="P46" s="1181"/>
      <c r="Q46" s="1181"/>
      <c r="R46" s="1181"/>
      <c r="S46" s="2634"/>
      <c r="T46" s="2634"/>
      <c r="U46" s="2634"/>
      <c r="V46" s="2634"/>
    </row>
    <row r="47" spans="1:30" s="1898" customFormat="1">
      <c r="A47" s="1724"/>
      <c r="B47" s="1724"/>
      <c r="C47" s="1181"/>
      <c r="D47" s="1181"/>
      <c r="E47" s="1181"/>
      <c r="F47" s="1181"/>
      <c r="G47" s="1181"/>
      <c r="H47" s="1181"/>
      <c r="I47" s="1181"/>
      <c r="J47" s="2632"/>
      <c r="K47" s="2633"/>
      <c r="L47" s="2633"/>
      <c r="M47" s="1181"/>
      <c r="N47" s="1181"/>
      <c r="O47" s="1181"/>
      <c r="P47" s="1181"/>
      <c r="Q47" s="1181"/>
      <c r="R47" s="1181"/>
      <c r="S47" s="2634"/>
      <c r="T47" s="2634"/>
      <c r="U47" s="2634"/>
      <c r="V47" s="2634"/>
    </row>
    <row r="48" spans="1:30" s="1898" customFormat="1">
      <c r="A48" s="1724"/>
      <c r="B48" s="1724"/>
      <c r="C48" s="1181"/>
      <c r="D48" s="1181"/>
      <c r="E48" s="1181"/>
      <c r="F48" s="1181"/>
      <c r="G48" s="1181"/>
      <c r="H48" s="1181"/>
      <c r="I48" s="1181"/>
      <c r="J48" s="2632"/>
      <c r="K48" s="2633"/>
      <c r="L48" s="2633"/>
      <c r="M48" s="1181"/>
      <c r="N48" s="1181"/>
      <c r="O48" s="1181"/>
      <c r="P48" s="1181"/>
      <c r="Q48" s="1181"/>
      <c r="R48" s="1181"/>
      <c r="S48" s="2634"/>
      <c r="T48" s="2634"/>
      <c r="U48" s="2634"/>
      <c r="V48" s="2634"/>
    </row>
    <row r="49" spans="1:22" s="1898" customFormat="1">
      <c r="A49" s="1724"/>
      <c r="B49" s="1724"/>
      <c r="C49" s="1181"/>
      <c r="D49" s="1181"/>
      <c r="E49" s="1181"/>
      <c r="F49" s="1181"/>
      <c r="G49" s="1181"/>
      <c r="H49" s="1181"/>
      <c r="I49" s="1181"/>
      <c r="J49" s="2632"/>
      <c r="K49" s="2633"/>
      <c r="L49" s="2633"/>
      <c r="M49" s="1181"/>
      <c r="N49" s="1181"/>
      <c r="O49" s="1181"/>
      <c r="P49" s="1181"/>
      <c r="Q49" s="1181"/>
      <c r="R49" s="1181"/>
      <c r="S49" s="2634"/>
      <c r="T49" s="2634"/>
      <c r="U49" s="2634"/>
      <c r="V49" s="2634"/>
    </row>
    <row r="50" spans="1:22" s="1898" customFormat="1">
      <c r="A50" s="1724"/>
      <c r="B50" s="1724"/>
      <c r="C50" s="1181"/>
      <c r="D50" s="1181"/>
      <c r="E50" s="1181"/>
      <c r="F50" s="1181"/>
      <c r="G50" s="1181"/>
      <c r="H50" s="1181"/>
      <c r="I50" s="1181"/>
      <c r="J50" s="2632"/>
      <c r="K50" s="2633"/>
      <c r="L50" s="2633"/>
      <c r="M50" s="1181"/>
      <c r="N50" s="1181"/>
      <c r="O50" s="1181"/>
      <c r="P50" s="1181"/>
      <c r="Q50" s="1181"/>
      <c r="R50" s="1181"/>
      <c r="S50" s="2634"/>
      <c r="T50" s="2634"/>
      <c r="U50" s="2634"/>
      <c r="V50" s="2634"/>
    </row>
    <row r="51" spans="1:22" s="1898" customFormat="1">
      <c r="A51" s="1724"/>
      <c r="B51" s="1724"/>
      <c r="C51" s="1181"/>
      <c r="D51" s="1181"/>
      <c r="E51" s="1181"/>
      <c r="F51" s="1181"/>
      <c r="G51" s="1181"/>
      <c r="H51" s="1181"/>
      <c r="I51" s="1181"/>
      <c r="J51" s="2632"/>
      <c r="K51" s="2633"/>
      <c r="L51" s="2633"/>
      <c r="M51" s="1181"/>
      <c r="N51" s="1181"/>
      <c r="O51" s="1181"/>
      <c r="P51" s="1181"/>
      <c r="Q51" s="1181"/>
      <c r="R51" s="1181"/>
    </row>
    <row r="52" spans="1:22" s="1898" customFormat="1">
      <c r="A52" s="1724"/>
      <c r="B52" s="1724"/>
      <c r="C52" s="1724"/>
      <c r="D52" s="1724"/>
      <c r="E52" s="1724"/>
      <c r="F52" s="1181"/>
      <c r="G52" s="1724"/>
      <c r="H52" s="1724"/>
      <c r="I52" s="1724"/>
      <c r="J52" s="2635"/>
      <c r="K52" s="2633"/>
      <c r="L52" s="2633"/>
      <c r="M52" s="2633"/>
      <c r="N52" s="1724"/>
      <c r="O52" s="1724"/>
      <c r="P52" s="1724"/>
      <c r="Q52" s="1724"/>
      <c r="R52" s="1724"/>
    </row>
    <row r="53" spans="1:22" s="1898" customFormat="1">
      <c r="A53" s="1724"/>
      <c r="B53" s="1724"/>
      <c r="C53" s="1724"/>
      <c r="D53" s="1724"/>
      <c r="E53" s="1724"/>
      <c r="F53" s="1181"/>
      <c r="G53" s="1724"/>
      <c r="H53" s="1724"/>
      <c r="I53" s="1724"/>
      <c r="J53" s="2635"/>
      <c r="K53" s="2633"/>
      <c r="L53" s="2633"/>
      <c r="M53" s="2633"/>
      <c r="N53" s="1724"/>
      <c r="O53" s="1724"/>
      <c r="P53" s="1724"/>
      <c r="Q53" s="1724"/>
      <c r="R53" s="1724"/>
    </row>
    <row r="54" spans="1:22" s="1898" customFormat="1">
      <c r="A54" s="1724"/>
      <c r="B54" s="1724"/>
      <c r="C54" s="1724"/>
      <c r="D54" s="1724"/>
      <c r="E54" s="1724"/>
      <c r="F54" s="1181"/>
      <c r="G54" s="1724"/>
      <c r="H54" s="1724"/>
      <c r="I54" s="1724"/>
      <c r="J54" s="2635"/>
      <c r="K54" s="2633"/>
      <c r="L54" s="2633"/>
      <c r="M54" s="2633"/>
      <c r="N54" s="1724"/>
      <c r="O54" s="1724"/>
      <c r="P54" s="1724"/>
      <c r="Q54" s="1724"/>
      <c r="R54" s="1724"/>
    </row>
    <row r="55" spans="1:22" s="1898" customFormat="1">
      <c r="A55" s="1724"/>
      <c r="B55" s="1724"/>
      <c r="C55" s="1724"/>
      <c r="D55" s="1724"/>
      <c r="E55" s="1724"/>
      <c r="F55" s="1181"/>
      <c r="G55" s="1724"/>
      <c r="H55" s="1724"/>
      <c r="I55" s="1724"/>
      <c r="J55" s="2635"/>
      <c r="K55" s="2633"/>
      <c r="L55" s="2633"/>
      <c r="M55" s="2633"/>
      <c r="N55" s="1724"/>
      <c r="O55" s="1724"/>
      <c r="P55" s="1724"/>
      <c r="Q55" s="1724"/>
      <c r="R55" s="1724"/>
    </row>
    <row r="56" spans="1:22" s="1898" customFormat="1">
      <c r="A56" s="1724"/>
      <c r="B56" s="1724"/>
      <c r="C56" s="1724"/>
      <c r="D56" s="1724"/>
      <c r="E56" s="1724"/>
      <c r="F56" s="1181"/>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1693</v>
      </c>
      <c r="AZ2" s="1179"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f>B3/1.93</f>
        <v>10785.067357512953</v>
      </c>
      <c r="B3" s="14">
        <f>IF(C3="否",G5-AT5,G5)</f>
        <v>20815.18</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20815.18</v>
      </c>
      <c r="H5" s="16">
        <f t="shared" ref="H5:AT5" si="0">SUM(H13:H656)</f>
        <v>20815.18</v>
      </c>
      <c r="I5" s="16">
        <f t="shared" si="0"/>
        <v>11780.21</v>
      </c>
      <c r="J5" s="16">
        <f t="shared" si="0"/>
        <v>0</v>
      </c>
      <c r="K5" s="16">
        <f t="shared" si="0"/>
        <v>9034.9699999999993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20815.18</v>
      </c>
      <c r="BA5" s="18">
        <f t="shared" si="1"/>
        <v>20815.18</v>
      </c>
      <c r="BB5" s="18">
        <f t="shared" si="1"/>
        <v>11780.21</v>
      </c>
      <c r="BC5" s="18">
        <f t="shared" si="1"/>
        <v>9034.9699999999993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3" customFormat="1" ht="12.75">
      <c r="A6" s="15" t="s">
        <v>1698</v>
      </c>
      <c r="B6" s="1740"/>
      <c r="C6" s="1740"/>
      <c r="D6" s="1741"/>
      <c r="E6" s="16">
        <f>H6+AC6+AT6</f>
        <v>10785.07</v>
      </c>
      <c r="F6" s="16" t="s">
        <v>1</v>
      </c>
      <c r="G6" s="16" t="s">
        <v>2</v>
      </c>
      <c r="H6" s="20">
        <f>SUMIF(I$12:AB$12,"总值",I6:AB6)</f>
        <v>10785.07</v>
      </c>
      <c r="I6" s="16">
        <f t="shared" ref="I6:AB6" si="2">ROUND($A$3*I5/$B$3,2)</f>
        <v>6103.74</v>
      </c>
      <c r="J6" s="16">
        <f t="shared" si="2"/>
        <v>0</v>
      </c>
      <c r="K6" s="16">
        <f t="shared" si="2"/>
        <v>4681.33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10785.07</v>
      </c>
      <c r="AZ6" s="16" t="s">
        <v>3</v>
      </c>
      <c r="BA6" s="16">
        <f>ROUND($AY$6*BA5/$AZ$5,2)</f>
        <v>10785.07</v>
      </c>
      <c r="BB6" s="16">
        <f>ROUND($AY$6*BB5/$AZ$5,2)</f>
        <v>6103.74</v>
      </c>
      <c r="BC6" s="16">
        <f t="shared" ref="BC6:BH6" si="4">ROUND($AY$6*BC5/$AZ$5,2)</f>
        <v>4681.33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7" t="s">
        <v>1712</v>
      </c>
      <c r="AD8" s="1754"/>
      <c r="AE8" s="1746"/>
      <c r="AF8" s="1513"/>
      <c r="AG8" s="1513"/>
      <c r="AH8" s="1513"/>
      <c r="AI8" s="1513"/>
      <c r="AJ8" s="1513"/>
      <c r="AK8" s="1513"/>
      <c r="AL8" s="1513"/>
      <c r="AM8" s="1513"/>
      <c r="AN8" s="1513"/>
      <c r="AO8" s="1513"/>
      <c r="AP8" s="1513"/>
      <c r="AQ8" s="1513"/>
      <c r="AR8" s="1513"/>
      <c r="AS8" s="1513"/>
      <c r="AT8" s="1201" t="s">
        <v>1713</v>
      </c>
      <c r="AU8" s="1748" t="s">
        <v>1714</v>
      </c>
      <c r="AV8" s="1201"/>
      <c r="AW8" s="1731"/>
      <c r="AX8" s="1201"/>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1"/>
      <c r="H9" s="1756" t="s">
        <v>1717</v>
      </c>
      <c r="I9" s="1757" t="s">
        <v>3135</v>
      </c>
      <c r="J9" s="917"/>
      <c r="K9" s="1757" t="s">
        <v>3135</v>
      </c>
      <c r="L9" s="917"/>
      <c r="M9" s="1757"/>
      <c r="N9" s="917"/>
      <c r="O9" s="1757"/>
      <c r="P9" s="917"/>
      <c r="Q9" s="1757"/>
      <c r="R9" s="917"/>
      <c r="S9" s="1757"/>
      <c r="T9" s="917"/>
      <c r="U9" s="1757"/>
      <c r="V9" s="917"/>
      <c r="W9" s="1757"/>
      <c r="X9" s="1758"/>
      <c r="Y9" s="1757"/>
      <c r="Z9" s="917"/>
      <c r="AA9" s="1757"/>
      <c r="AB9" s="917"/>
      <c r="AC9" s="1749" t="s">
        <v>1717</v>
      </c>
      <c r="AD9" s="15" t="s">
        <v>1718</v>
      </c>
      <c r="AE9" s="1207"/>
      <c r="AF9" s="15" t="s">
        <v>1719</v>
      </c>
      <c r="AG9" s="1207"/>
      <c r="AH9" s="15" t="s">
        <v>1718</v>
      </c>
      <c r="AI9" s="1207"/>
      <c r="AJ9" s="15" t="s">
        <v>1719</v>
      </c>
      <c r="AK9" s="1207"/>
      <c r="AL9" s="15" t="s">
        <v>1718</v>
      </c>
      <c r="AM9" s="1207"/>
      <c r="AN9" s="15" t="s">
        <v>1719</v>
      </c>
      <c r="AO9" s="1207"/>
      <c r="AP9" s="15" t="s">
        <v>1718</v>
      </c>
      <c r="AQ9" s="1207"/>
      <c r="AR9" s="15" t="s">
        <v>1719</v>
      </c>
      <c r="AS9" s="1759"/>
      <c r="AT9" s="1748"/>
      <c r="AU9" s="1748" t="s">
        <v>1720</v>
      </c>
      <c r="AV9" s="1201"/>
      <c r="AW9" s="1731"/>
      <c r="AX9" s="1201"/>
      <c r="AY9" s="28"/>
      <c r="AZ9" s="28" t="s">
        <v>1710</v>
      </c>
      <c r="BA9" s="1760" t="s">
        <v>1721</v>
      </c>
      <c r="BB9" s="1761"/>
      <c r="BC9" s="1219"/>
      <c r="BD9" s="1219"/>
      <c r="BE9" s="1219"/>
      <c r="BF9" s="1219"/>
      <c r="BG9" s="1219"/>
      <c r="BH9" s="1219"/>
      <c r="BI9" s="1219"/>
      <c r="BJ9" s="1219"/>
      <c r="BK9" s="1762"/>
      <c r="BL9" s="15" t="s">
        <v>1722</v>
      </c>
      <c r="BM9" s="1513"/>
      <c r="BN9" s="1751"/>
      <c r="BO9" s="1513"/>
      <c r="BP9" s="1513"/>
      <c r="BQ9" s="1513"/>
      <c r="BR9" s="1513"/>
      <c r="BS9" s="1513"/>
      <c r="BT9" s="26"/>
    </row>
    <row r="10" spans="1:72" s="1755" customFormat="1" ht="12.75">
      <c r="A10" s="1748"/>
      <c r="B10" s="1748"/>
      <c r="C10" s="1748"/>
      <c r="D10" s="1748"/>
      <c r="E10" s="1748"/>
      <c r="F10" s="1748"/>
      <c r="G10" s="1201"/>
      <c r="H10" s="28"/>
      <c r="I10" s="1757" t="s">
        <v>3136</v>
      </c>
      <c r="J10" s="917"/>
      <c r="K10" s="1763" t="s">
        <v>3137</v>
      </c>
      <c r="L10" s="917"/>
      <c r="M10" s="1763"/>
      <c r="N10" s="917"/>
      <c r="O10" s="1763"/>
      <c r="P10" s="917"/>
      <c r="Q10" s="1763"/>
      <c r="R10" s="917"/>
      <c r="S10" s="1763"/>
      <c r="T10" s="917"/>
      <c r="U10" s="1763"/>
      <c r="V10" s="917"/>
      <c r="W10" s="1763"/>
      <c r="X10" s="917"/>
      <c r="Y10" s="1763"/>
      <c r="Z10" s="917"/>
      <c r="AA10" s="1763"/>
      <c r="AB10" s="917"/>
      <c r="AC10" s="1201"/>
      <c r="AD10" s="15" t="s">
        <v>1723</v>
      </c>
      <c r="AE10" s="1764"/>
      <c r="AF10" s="15" t="s">
        <v>1723</v>
      </c>
      <c r="AG10" s="1764"/>
      <c r="AH10" s="15" t="s">
        <v>1724</v>
      </c>
      <c r="AI10" s="1764"/>
      <c r="AJ10" s="15" t="s">
        <v>1724</v>
      </c>
      <c r="AK10" s="1764"/>
      <c r="AL10" s="15" t="s">
        <v>1725</v>
      </c>
      <c r="AM10" s="1207"/>
      <c r="AN10" s="15" t="s">
        <v>1725</v>
      </c>
      <c r="AO10" s="1207"/>
      <c r="AP10" s="15" t="s">
        <v>1726</v>
      </c>
      <c r="AQ10" s="1207"/>
      <c r="AR10" s="15" t="s">
        <v>1726</v>
      </c>
      <c r="AS10" s="1207"/>
      <c r="AT10" s="1748"/>
      <c r="AU10" s="1748"/>
      <c r="AV10" s="1201"/>
      <c r="AW10" s="1731"/>
      <c r="AX10" s="1201"/>
      <c r="AY10" s="28"/>
      <c r="AZ10" s="28"/>
      <c r="BA10" s="1765" t="s">
        <v>1717</v>
      </c>
      <c r="BB10" s="1766" t="str">
        <f>I9</f>
        <v>地下</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1"/>
      <c r="H11" s="1765"/>
      <c r="I11" s="1768"/>
      <c r="J11" s="1769"/>
      <c r="K11" s="1768"/>
      <c r="L11" s="1769"/>
      <c r="M11" s="1768"/>
      <c r="N11" s="1769"/>
      <c r="O11" s="1768"/>
      <c r="P11" s="1769"/>
      <c r="Q11" s="1768"/>
      <c r="R11" s="1769"/>
      <c r="S11" s="1768"/>
      <c r="T11" s="1769"/>
      <c r="U11" s="1768"/>
      <c r="V11" s="1769"/>
      <c r="W11" s="1768"/>
      <c r="X11" s="1769"/>
      <c r="Y11" s="1768"/>
      <c r="Z11" s="1769"/>
      <c r="AA11" s="1768"/>
      <c r="AB11" s="1769"/>
      <c r="AC11" s="1201"/>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1"/>
      <c r="AW11" s="1731"/>
      <c r="AX11" s="1201"/>
      <c r="AY11" s="28"/>
      <c r="AZ11" s="28"/>
      <c r="BA11" s="28"/>
      <c r="BB11" s="1753" t="str">
        <f>I10</f>
        <v>车库</v>
      </c>
      <c r="BC11" s="1753" t="str">
        <f>K10</f>
        <v>仓储</v>
      </c>
      <c r="BD11" s="1753">
        <f>M10</f>
        <v>0</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f>I11</f>
        <v>0</v>
      </c>
      <c r="BC12" s="1778">
        <f>K11</f>
        <v>0</v>
      </c>
      <c r="BD12" s="1778">
        <f>M11</f>
        <v>0</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1"/>
      <c r="B13" s="1181"/>
      <c r="C13" s="1181"/>
      <c r="D13" s="1779" t="s">
        <v>3134</v>
      </c>
      <c r="E13" s="16">
        <f>IF($C$3="是",ROUND($A$3*G13/$B$3,2),ROUND($A$3*(G13-AT13)/$B$3,2))</f>
        <v>10785.07</v>
      </c>
      <c r="F13" s="32"/>
      <c r="G13" s="33">
        <f>H13+AC13+AT13</f>
        <v>20815.18</v>
      </c>
      <c r="H13" s="20">
        <f>SUMIF(I$12:AB$12,"总值",I13:AB13)</f>
        <v>20815.18</v>
      </c>
      <c r="I13" s="1780">
        <v>11780.21</v>
      </c>
      <c r="J13" s="1780"/>
      <c r="K13" s="1780">
        <v>9034.9699999999993</v>
      </c>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10785.07</v>
      </c>
      <c r="AZ13" s="16">
        <f>BA13+BL13</f>
        <v>20815.18</v>
      </c>
      <c r="BA13" s="16">
        <f>SUM(BB13:BK13)</f>
        <v>20815.18</v>
      </c>
      <c r="BB13" s="16">
        <f>IF($D13="是",I13-J13,0)</f>
        <v>11780.21</v>
      </c>
      <c r="BC13" s="16">
        <f>IF($D13="是",K13-L13,0)</f>
        <v>9034.9699999999993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1"/>
      <c r="B14" s="1181"/>
      <c r="C14" s="1724"/>
      <c r="D14" s="1779"/>
      <c r="E14" s="16">
        <f>IF($C$3="是",ROUND($A$3*G14/$B$3,2),ROUND($A$3*(G14-AT14)/$B$3,2))</f>
        <v>0</v>
      </c>
      <c r="F14" s="32"/>
      <c r="G14" s="33">
        <f>H14+AC14+AT14</f>
        <v>0</v>
      </c>
      <c r="H14" s="20">
        <f>SUMIF(I$12:AB$12,"总值",I14:AB14)</f>
        <v>0</v>
      </c>
      <c r="I14" s="1780"/>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1"/>
      <c r="B15" s="1181"/>
      <c r="C15" s="1724"/>
      <c r="D15" s="1779"/>
      <c r="E15" s="16">
        <f>IF($C$3="是",ROUND($A$3*G15/$B$3,2),ROUND($A$3*(G15-AT15)/$B$3,2))</f>
        <v>0</v>
      </c>
      <c r="F15" s="32"/>
      <c r="G15" s="33">
        <f>H15+AC15+AT15</f>
        <v>0</v>
      </c>
      <c r="H15" s="20">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1"/>
      <c r="B16" s="1181"/>
      <c r="C16" s="1724"/>
      <c r="D16" s="1779"/>
      <c r="E16" s="16">
        <f>IF($C$3="是",ROUND($A$3*G16/$B$3,2),ROUND($A$3*(G16-AT16)/$B$3,2))</f>
        <v>0</v>
      </c>
      <c r="F16" s="32"/>
      <c r="G16" s="33">
        <f>H16+AC16+AT16</f>
        <v>0</v>
      </c>
      <c r="H16" s="20">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1"/>
      <c r="B17" s="1181"/>
      <c r="C17" s="1724"/>
      <c r="D17" s="1779"/>
      <c r="E17" s="16">
        <f>IF($C$3="是",ROUND($A$3*G17/$B$3,2),ROUND($A$3*(G17-AT17)/$B$3,2))</f>
        <v>0</v>
      </c>
      <c r="F17" s="32"/>
      <c r="G17" s="33">
        <f>H17+AC17+AT17</f>
        <v>0</v>
      </c>
      <c r="H17" s="20">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5"/>
      <c r="AV18" s="1496">
        <f t="shared" ref="AV18:AV112" si="11">A18</f>
        <v>0</v>
      </c>
      <c r="AW18" s="1496">
        <f t="shared" ref="AW18:AW112" si="12">B18</f>
        <v>0</v>
      </c>
      <c r="AX18" s="14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5"/>
      <c r="AV19" s="1496">
        <f t="shared" si="11"/>
        <v>0</v>
      </c>
      <c r="AW19" s="1496">
        <f t="shared" si="12"/>
        <v>0</v>
      </c>
      <c r="AX19" s="14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5"/>
      <c r="AV20" s="1496">
        <f t="shared" si="11"/>
        <v>0</v>
      </c>
      <c r="AW20" s="1496">
        <f t="shared" si="12"/>
        <v>0</v>
      </c>
      <c r="AX20" s="14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5"/>
      <c r="AV21" s="1496">
        <f t="shared" si="11"/>
        <v>0</v>
      </c>
      <c r="AW21" s="1496">
        <f t="shared" si="12"/>
        <v>0</v>
      </c>
      <c r="AX21" s="14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5"/>
      <c r="AV22" s="1496">
        <f t="shared" si="11"/>
        <v>0</v>
      </c>
      <c r="AW22" s="1496">
        <f t="shared" si="12"/>
        <v>0</v>
      </c>
      <c r="AX22" s="14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3" t="s">
        <v>0</v>
      </c>
      <c r="B1" s="3333" t="s">
        <v>4</v>
      </c>
      <c r="C1" s="3333" t="s">
        <v>5</v>
      </c>
      <c r="D1" s="3334" t="s">
        <v>53</v>
      </c>
      <c r="E1" s="3334" t="s">
        <v>54</v>
      </c>
      <c r="F1" s="3334"/>
      <c r="G1" s="3334"/>
      <c r="H1" s="3334"/>
      <c r="I1" s="3334"/>
      <c r="J1" s="3334"/>
      <c r="K1" s="3334"/>
      <c r="L1" s="3334"/>
      <c r="M1" s="3334"/>
    </row>
    <row r="2" spans="1:13" ht="27" customHeight="1">
      <c r="A2" s="3333"/>
      <c r="B2" s="3333"/>
      <c r="C2" s="3333"/>
      <c r="D2" s="3334"/>
      <c r="E2" s="3334" t="s">
        <v>37</v>
      </c>
      <c r="F2" s="3334" t="s">
        <v>38</v>
      </c>
      <c r="G2" s="3334"/>
      <c r="H2" s="3334"/>
      <c r="I2" s="3334"/>
      <c r="J2" s="3334" t="s">
        <v>39</v>
      </c>
      <c r="K2" s="3334"/>
      <c r="L2" s="3334"/>
      <c r="M2" s="3334"/>
    </row>
    <row r="3" spans="1:13" ht="28.5">
      <c r="A3" s="3333"/>
      <c r="B3" s="3333"/>
      <c r="C3" s="3333"/>
      <c r="D3" s="3334"/>
      <c r="E3" s="33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4" t="s">
        <v>55</v>
      </c>
      <c r="B9" s="3334"/>
      <c r="C9" s="33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1" sqref="E21"/>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2"/>
      <c r="C1" s="1272"/>
      <c r="D1" s="1272"/>
      <c r="E1" s="1272"/>
      <c r="F1" s="1272"/>
      <c r="G1" s="1272"/>
      <c r="H1" s="1272"/>
      <c r="I1" s="1272"/>
      <c r="J1" s="1272"/>
      <c r="K1" s="1272"/>
      <c r="L1" s="1272"/>
      <c r="M1" s="1272"/>
      <c r="N1" s="1272"/>
      <c r="O1" s="1272"/>
      <c r="P1" s="1272"/>
    </row>
    <row r="2" spans="1:16" ht="15">
      <c r="A2" s="3344" t="s">
        <v>1757</v>
      </c>
      <c r="B2" s="3344"/>
      <c r="C2" s="3344"/>
      <c r="D2" s="903" t="s">
        <v>1733</v>
      </c>
      <c r="E2" s="1793" t="s">
        <v>1734</v>
      </c>
      <c r="F2" s="2855"/>
      <c r="G2" s="2846"/>
      <c r="H2" s="2847"/>
      <c r="I2" s="2517" t="s">
        <v>1758</v>
      </c>
      <c r="J2" s="2855"/>
      <c r="K2" s="2855"/>
      <c r="L2" s="2855"/>
      <c r="M2" s="2855"/>
      <c r="N2" s="2857"/>
      <c r="O2" s="2855"/>
      <c r="P2" s="2855"/>
    </row>
    <row r="3" spans="1:16" ht="15.75" thickBot="1">
      <c r="A3" s="3345" t="s">
        <v>1731</v>
      </c>
      <c r="B3" s="3345"/>
      <c r="C3" s="3345"/>
      <c r="D3" s="46">
        <f>'数据-基础表'!AY6</f>
        <v>10785.07</v>
      </c>
      <c r="E3" s="46">
        <f>'数据-基础表'!AZ5</f>
        <v>20815.18</v>
      </c>
      <c r="F3" s="2855"/>
      <c r="G3" s="1278"/>
      <c r="H3" s="1156" t="s">
        <v>1732</v>
      </c>
      <c r="I3" s="963">
        <f>ROUND('数据-基础表'!B3/'数据-基础表'!A3,2)</f>
        <v>1.93</v>
      </c>
      <c r="J3" s="2855"/>
      <c r="K3" s="2855"/>
      <c r="L3" s="2855"/>
      <c r="M3" s="2855"/>
      <c r="N3" s="2857"/>
      <c r="O3" s="2855"/>
      <c r="P3" s="2855"/>
    </row>
    <row r="4" spans="1:16" ht="15">
      <c r="A4" s="3346"/>
      <c r="B4" s="3347"/>
      <c r="C4" s="3348"/>
      <c r="D4" s="1795" t="s">
        <v>1733</v>
      </c>
      <c r="E4" s="1796" t="s">
        <v>1734</v>
      </c>
      <c r="F4" s="2855"/>
      <c r="G4" s="2848" t="s">
        <v>1759</v>
      </c>
      <c r="H4" s="1156" t="s">
        <v>1739</v>
      </c>
      <c r="I4" s="963">
        <f>ROUND(SUMIF('数据-基础表'!I9:AS9,"地上",'数据-基础表'!I5:AS5)/'数据-基础表'!A3,2)</f>
        <v>0</v>
      </c>
      <c r="J4" s="2855"/>
      <c r="K4" s="2855"/>
      <c r="L4" s="2855"/>
      <c r="M4" s="2855"/>
      <c r="N4" s="2857"/>
      <c r="O4" s="2855"/>
      <c r="P4" s="2855"/>
    </row>
    <row r="5" spans="1:16">
      <c r="A5" s="47" t="s">
        <v>1735</v>
      </c>
      <c r="B5" s="3349" t="s">
        <v>1736</v>
      </c>
      <c r="C5" s="3349"/>
      <c r="D5" s="48">
        <f>ROUND($D$3*E5/$E$3,2)</f>
        <v>0</v>
      </c>
      <c r="E5" s="49">
        <f>SUMIF('数据-基础表'!$11:$11,"住宅",'数据-基础表'!$5:$5)</f>
        <v>0</v>
      </c>
      <c r="F5" s="2855"/>
      <c r="G5" s="1278"/>
      <c r="H5" s="1156" t="s">
        <v>1732</v>
      </c>
      <c r="I5" s="963">
        <f>ROUND(E31/D31,2)</f>
        <v>1.93</v>
      </c>
      <c r="J5" s="2855"/>
      <c r="K5" s="2855"/>
      <c r="L5" s="2855"/>
      <c r="M5" s="2855"/>
      <c r="N5" s="2855"/>
      <c r="O5" s="2855"/>
      <c r="P5" s="2855"/>
    </row>
    <row r="6" spans="1:16" ht="15" thickBot="1">
      <c r="A6" s="1798"/>
      <c r="B6" s="3349" t="s">
        <v>1737</v>
      </c>
      <c r="C6" s="3349"/>
      <c r="D6" s="48">
        <f>ROUND($D$3*E6/$E$3,2)</f>
        <v>10785.07</v>
      </c>
      <c r="E6" s="49">
        <f>E3-E5</f>
        <v>20815.18</v>
      </c>
      <c r="F6" s="2855"/>
      <c r="G6" s="2849" t="s">
        <v>1738</v>
      </c>
      <c r="H6" s="1279" t="s">
        <v>1739</v>
      </c>
      <c r="I6" s="2850">
        <f>ROUND(F31/D31,2)</f>
        <v>0</v>
      </c>
      <c r="J6" s="2855"/>
      <c r="K6" s="2855"/>
      <c r="L6" s="2855"/>
      <c r="M6" s="2855"/>
      <c r="N6" s="2855"/>
      <c r="O6" s="2855"/>
      <c r="P6" s="2855"/>
    </row>
    <row r="7" spans="1:16" ht="15.75" thickBot="1">
      <c r="A7" s="3341"/>
      <c r="B7" s="3342"/>
      <c r="C7" s="3343"/>
      <c r="D7" s="1795" t="s">
        <v>1733</v>
      </c>
      <c r="E7" s="1799" t="s">
        <v>1740</v>
      </c>
      <c r="F7" s="2855"/>
      <c r="G7" s="2851" t="s">
        <v>1741</v>
      </c>
      <c r="H7" s="2852"/>
      <c r="I7" s="2853">
        <v>1.93</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0</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4681.33</v>
      </c>
      <c r="E12" s="51">
        <f>SUMPRODUCT(('数据-基础表'!BB10:BK10="地下")*('数据-基础表'!BB11:BK11="仓储")*('数据-基础表'!BB5:BK5))</f>
        <v>9034.9699999999993</v>
      </c>
      <c r="F12" s="2855"/>
      <c r="G12" s="2856"/>
      <c r="H12" s="2856"/>
      <c r="I12" s="2855"/>
      <c r="J12" s="2855"/>
      <c r="K12" s="2855"/>
      <c r="L12" s="2855"/>
      <c r="M12" s="2855"/>
      <c r="N12" s="2855"/>
      <c r="O12" s="2855"/>
      <c r="P12" s="2855"/>
    </row>
    <row r="13" spans="1:16">
      <c r="A13" s="1800"/>
      <c r="B13" s="1801"/>
      <c r="C13" s="48" t="s">
        <v>1748</v>
      </c>
      <c r="D13" s="48">
        <f t="shared" si="0"/>
        <v>6103.74</v>
      </c>
      <c r="E13" s="51">
        <f>SUMPRODUCT(('数据-基础表'!BB10:BK10="地下")*('数据-基础表'!BB11:BK11="车库")*('数据-基础表'!BB5:BK5))</f>
        <v>11780.21</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10785.07</v>
      </c>
      <c r="E16" s="53">
        <f>SUM(E8:E15)</f>
        <v>20815.18</v>
      </c>
      <c r="F16" s="2855"/>
      <c r="G16" s="2856"/>
      <c r="H16" s="1802" t="s">
        <v>1761</v>
      </c>
      <c r="I16" s="1803"/>
      <c r="J16" s="1272"/>
      <c r="K16" s="3338" t="s">
        <v>1761</v>
      </c>
      <c r="L16" s="3339"/>
      <c r="M16" s="3339"/>
      <c r="N16" s="3339"/>
      <c r="O16" s="3339"/>
      <c r="P16" s="3340"/>
    </row>
    <row r="17" spans="1:19" ht="15">
      <c r="A17" s="1804" t="s">
        <v>1762</v>
      </c>
      <c r="B17" s="1805" t="s">
        <v>1763</v>
      </c>
      <c r="C17" s="1806" t="s">
        <v>1764</v>
      </c>
      <c r="D17" s="1807" t="s">
        <v>1752</v>
      </c>
      <c r="E17" s="1808" t="s">
        <v>1753</v>
      </c>
      <c r="F17" s="1809"/>
      <c r="G17" s="1810"/>
      <c r="H17" s="1811" t="s">
        <v>1765</v>
      </c>
      <c r="I17" s="1812" t="s">
        <v>1750</v>
      </c>
      <c r="J17" s="1272"/>
      <c r="K17" s="3335" t="s">
        <v>1766</v>
      </c>
      <c r="L17" s="3336"/>
      <c r="M17" s="3337"/>
      <c r="N17" s="3335" t="s">
        <v>1767</v>
      </c>
      <c r="O17" s="3336"/>
      <c r="P17" s="3337"/>
      <c r="R17" s="1794" t="s">
        <v>1768</v>
      </c>
      <c r="S17" s="60"/>
    </row>
    <row r="18" spans="1:19" ht="15">
      <c r="A18" s="1800"/>
      <c r="B18" s="1813"/>
      <c r="C18" s="1814"/>
      <c r="D18" s="1815"/>
      <c r="E18" s="1816" t="s">
        <v>1769</v>
      </c>
      <c r="F18" s="1817" t="s">
        <v>1770</v>
      </c>
      <c r="G18" s="1818" t="s">
        <v>1771</v>
      </c>
      <c r="H18" s="1171" t="s">
        <v>1772</v>
      </c>
      <c r="I18" s="1819" t="s">
        <v>1773</v>
      </c>
      <c r="J18" s="1272"/>
      <c r="K18" s="1171" t="s">
        <v>1774</v>
      </c>
      <c r="L18" s="1820" t="s">
        <v>1775</v>
      </c>
      <c r="M18" s="963" t="s">
        <v>1776</v>
      </c>
      <c r="N18" s="1171" t="s">
        <v>1774</v>
      </c>
      <c r="O18" s="1820" t="s">
        <v>1775</v>
      </c>
      <c r="P18" s="963" t="s">
        <v>1776</v>
      </c>
      <c r="R18" s="1156" t="s">
        <v>1777</v>
      </c>
      <c r="S18" s="1156" t="s">
        <v>1778</v>
      </c>
    </row>
    <row r="19" spans="1:19">
      <c r="A19" s="1821"/>
      <c r="B19" s="50" t="s">
        <v>1751</v>
      </c>
      <c r="C19" s="3230" t="s">
        <v>3138</v>
      </c>
      <c r="D19" s="48">
        <f>ROUND($D$3*E19/$E$3,2)</f>
        <v>6103.74</v>
      </c>
      <c r="E19" s="56">
        <f t="shared" ref="E19:E26" si="1">SUM(F19:G19)</f>
        <v>11780.21</v>
      </c>
      <c r="F19" s="2995"/>
      <c r="G19" s="2996">
        <f>'数据-基础表'!I13</f>
        <v>11780.21</v>
      </c>
      <c r="H19" s="678">
        <f>ROUND($D$3*I19/$E$3,2)</f>
        <v>0</v>
      </c>
      <c r="I19" s="51">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6103.74</v>
      </c>
      <c r="S19" s="1157">
        <f t="shared" si="5"/>
        <v>11780.21</v>
      </c>
    </row>
    <row r="20" spans="1:19">
      <c r="A20" s="1825"/>
      <c r="B20" s="50" t="s">
        <v>1779</v>
      </c>
      <c r="C20" s="3230" t="s">
        <v>3139</v>
      </c>
      <c r="D20" s="48">
        <f t="shared" ref="D20:D26" si="6">ROUND($D$3*E20/$E$3,2)</f>
        <v>4681.33</v>
      </c>
      <c r="E20" s="56">
        <f t="shared" si="1"/>
        <v>9034.9699999999993</v>
      </c>
      <c r="F20" s="2995"/>
      <c r="G20" s="2996">
        <f>'数据-基础表'!K13</f>
        <v>9034.9699999999993</v>
      </c>
      <c r="H20" s="678">
        <f t="shared" ref="H20:H26" si="7">ROUND($D$3*I20/$E$3,2)</f>
        <v>0</v>
      </c>
      <c r="I20" s="51">
        <f t="shared" si="2"/>
        <v>0</v>
      </c>
      <c r="J20" s="1272"/>
      <c r="K20" s="1271">
        <f t="shared" si="3"/>
        <v>0</v>
      </c>
      <c r="L20" s="1156">
        <f t="shared" si="4"/>
        <v>0</v>
      </c>
      <c r="M20" s="1283">
        <f t="shared" ref="M20:M26" si="8">K20+L20</f>
        <v>0</v>
      </c>
      <c r="N20" s="1823"/>
      <c r="O20" s="1824"/>
      <c r="P20" s="1283">
        <f t="shared" ref="P20:P26" si="9">N20+O20</f>
        <v>0</v>
      </c>
      <c r="R20" s="1156">
        <f t="shared" si="5"/>
        <v>4681.33</v>
      </c>
      <c r="S20" s="1157">
        <f t="shared" si="5"/>
        <v>9034.9699999999993</v>
      </c>
    </row>
    <row r="21" spans="1:19">
      <c r="A21" s="1825"/>
      <c r="B21" s="50" t="s">
        <v>1779</v>
      </c>
      <c r="C21" s="1822"/>
      <c r="D21" s="48">
        <f t="shared" si="6"/>
        <v>0</v>
      </c>
      <c r="E21" s="56">
        <f t="shared" si="1"/>
        <v>0</v>
      </c>
      <c r="F21" s="2995"/>
      <c r="G21" s="2996"/>
      <c r="H21" s="678">
        <f t="shared" si="7"/>
        <v>0</v>
      </c>
      <c r="I21" s="51">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50" t="s">
        <v>1779</v>
      </c>
      <c r="C22" s="58"/>
      <c r="D22" s="48">
        <f t="shared" si="6"/>
        <v>0</v>
      </c>
      <c r="E22" s="56">
        <f t="shared" si="1"/>
        <v>0</v>
      </c>
      <c r="F22" s="2997"/>
      <c r="G22" s="2998"/>
      <c r="H22" s="678">
        <f t="shared" si="7"/>
        <v>0</v>
      </c>
      <c r="I22" s="51">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50" t="s">
        <v>1779</v>
      </c>
      <c r="C23" s="58"/>
      <c r="D23" s="48">
        <f>ROUND($D$3*E23/$E$3,2)</f>
        <v>0</v>
      </c>
      <c r="E23" s="56">
        <f>SUM(F23:G23)</f>
        <v>0</v>
      </c>
      <c r="F23" s="2997"/>
      <c r="G23" s="2998"/>
      <c r="H23" s="678">
        <f>ROUND($D$3*I23/$E$3,2)</f>
        <v>0</v>
      </c>
      <c r="I23" s="51">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50" t="s">
        <v>1779</v>
      </c>
      <c r="C24" s="58"/>
      <c r="D24" s="48">
        <f>ROUND($D$3*E24/$E$3,2)</f>
        <v>0</v>
      </c>
      <c r="E24" s="56">
        <f>SUM(F24:G24)</f>
        <v>0</v>
      </c>
      <c r="F24" s="2997"/>
      <c r="G24" s="2998"/>
      <c r="H24" s="678">
        <f>ROUND($D$3*I24/$E$3,2)</f>
        <v>0</v>
      </c>
      <c r="I24" s="51">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50" t="s">
        <v>1779</v>
      </c>
      <c r="C25" s="58"/>
      <c r="D25" s="48">
        <f t="shared" si="6"/>
        <v>0</v>
      </c>
      <c r="E25" s="56">
        <f t="shared" si="1"/>
        <v>0</v>
      </c>
      <c r="F25" s="2997"/>
      <c r="G25" s="2998"/>
      <c r="H25" s="47">
        <f t="shared" si="7"/>
        <v>0</v>
      </c>
      <c r="I25" s="51">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50" t="s">
        <v>1779</v>
      </c>
      <c r="C26" s="59"/>
      <c r="D26" s="48">
        <f t="shared" si="6"/>
        <v>0</v>
      </c>
      <c r="E26" s="56">
        <f t="shared" si="1"/>
        <v>0</v>
      </c>
      <c r="F26" s="2997"/>
      <c r="G26" s="2998"/>
      <c r="H26" s="47">
        <f t="shared" si="7"/>
        <v>0</v>
      </c>
      <c r="I26" s="51">
        <f t="shared" si="2"/>
        <v>0</v>
      </c>
      <c r="J26" s="1272"/>
      <c r="K26" s="1278">
        <f t="shared" si="3"/>
        <v>0</v>
      </c>
      <c r="L26" s="1279">
        <f t="shared" si="4"/>
        <v>0</v>
      </c>
      <c r="M26" s="63">
        <f t="shared" si="8"/>
        <v>0</v>
      </c>
      <c r="N26" s="1826"/>
      <c r="O26" s="1827"/>
      <c r="P26" s="63">
        <f t="shared" si="9"/>
        <v>0</v>
      </c>
      <c r="R26" s="1156">
        <f t="shared" si="5"/>
        <v>0</v>
      </c>
      <c r="S26" s="1157">
        <f t="shared" si="5"/>
        <v>0</v>
      </c>
    </row>
    <row r="27" spans="1:19" ht="15.75" thickBot="1">
      <c r="A27" s="1825"/>
      <c r="B27" s="48"/>
      <c r="C27" s="1828" t="s">
        <v>1780</v>
      </c>
      <c r="D27" s="1273">
        <f>SUM(D19:D26)</f>
        <v>10785.07</v>
      </c>
      <c r="E27" s="1274">
        <f>IF(SUM(E19:E26)='数据-基础表'!BA5,SUM(E19:E26),IF(F27="地上面积有误","面积有误","地下面积有误"))</f>
        <v>20815.18</v>
      </c>
      <c r="F27" s="1273">
        <f>IF(SUM(F19:F26)=E8,SUM(F19:F26),"地上面积有误")</f>
        <v>0</v>
      </c>
      <c r="G27" s="1275">
        <f>SUM(G19:G26)</f>
        <v>20815.18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10785.07</v>
      </c>
      <c r="S27" s="1156">
        <f>IF(SUM(S19:S26)=$E$3,SUM(S19:S26),SUM(S19:S26)&amp;"误差"&amp;ROUND(SUM(S19:S26)-E3,2))</f>
        <v>20815.18</v>
      </c>
    </row>
    <row r="28" spans="1:19">
      <c r="A28" s="1825"/>
      <c r="B28" s="50" t="s">
        <v>1781</v>
      </c>
      <c r="C28" s="1168"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3">
        <f>SUM(D28:D29)</f>
        <v>0</v>
      </c>
      <c r="E30" s="1273">
        <f>SUM(E28:E29)</f>
        <v>0</v>
      </c>
      <c r="F30" s="1273">
        <f>SUM(F28:F29)</f>
        <v>0</v>
      </c>
      <c r="G30" s="1275">
        <f>SUM(G28:G29)</f>
        <v>0</v>
      </c>
      <c r="H30" s="2855"/>
      <c r="I30" s="2855"/>
      <c r="J30" s="2855"/>
      <c r="K30" s="2855"/>
      <c r="L30" s="2855"/>
      <c r="M30" s="2855"/>
      <c r="N30" s="2855"/>
      <c r="O30" s="2855"/>
      <c r="P30" s="2855"/>
    </row>
    <row r="31" spans="1:19" ht="15.75" thickBot="1">
      <c r="A31" s="1831"/>
      <c r="B31" s="1832"/>
      <c r="C31" s="943" t="s">
        <v>1784</v>
      </c>
      <c r="D31" s="684">
        <f>D27+D30</f>
        <v>10785.07</v>
      </c>
      <c r="E31" s="684">
        <f>E27+E30</f>
        <v>20815.18</v>
      </c>
      <c r="F31" s="685">
        <f>F27+F30</f>
        <v>0</v>
      </c>
      <c r="G31" s="686">
        <f>G27+G30</f>
        <v>20815.18</v>
      </c>
      <c r="H31" s="2855"/>
      <c r="I31" s="2855"/>
      <c r="J31" s="2855"/>
      <c r="K31" s="2855"/>
      <c r="L31" s="2855"/>
      <c r="M31" s="2855"/>
      <c r="N31" s="2855"/>
      <c r="O31" s="2855"/>
      <c r="P31" s="2855"/>
    </row>
    <row r="32" spans="1:19">
      <c r="A32" s="1797"/>
      <c r="B32" s="1797" t="s">
        <v>1785</v>
      </c>
      <c r="C32" s="1797"/>
      <c r="D32" s="1797"/>
      <c r="E32" s="1183">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K7" sqref="AK7"/>
    </sheetView>
  </sheetViews>
  <sheetFormatPr defaultColWidth="13.75" defaultRowHeight="12.75"/>
  <cols>
    <col min="1" max="1" width="16.3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29.25" thickBot="1">
      <c r="A2" s="1838" t="s">
        <v>1787</v>
      </c>
      <c r="B2" s="1175">
        <f>项目基本情况!D3</f>
        <v>44617</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7" t="s">
        <v>1798</v>
      </c>
      <c r="F5" s="1854" t="s">
        <v>1799</v>
      </c>
      <c r="G5" s="1177" t="s">
        <v>1800</v>
      </c>
      <c r="H5" s="1177" t="s">
        <v>1801</v>
      </c>
      <c r="I5" s="1177" t="s">
        <v>1802</v>
      </c>
      <c r="J5" s="1855" t="s">
        <v>1803</v>
      </c>
      <c r="K5" s="1856" t="s">
        <v>1804</v>
      </c>
      <c r="L5" s="1857" t="s">
        <v>1805</v>
      </c>
      <c r="M5" s="1858" t="s">
        <v>1806</v>
      </c>
      <c r="N5" s="1859" t="s">
        <v>3140</v>
      </c>
      <c r="O5" s="1857" t="s">
        <v>1807</v>
      </c>
      <c r="P5" s="1860" t="s">
        <v>1808</v>
      </c>
      <c r="Q5" s="65" t="s">
        <v>1809</v>
      </c>
      <c r="R5" s="1861" t="s">
        <v>1810</v>
      </c>
      <c r="S5" s="1862" t="s">
        <v>1811</v>
      </c>
      <c r="T5" s="1863" t="s">
        <v>1812</v>
      </c>
      <c r="U5" s="1176" t="s">
        <v>1813</v>
      </c>
      <c r="V5" s="1177" t="s">
        <v>1814</v>
      </c>
      <c r="W5" s="1177" t="s">
        <v>1815</v>
      </c>
      <c r="X5" s="67"/>
      <c r="Y5" s="66" t="s">
        <v>1816</v>
      </c>
      <c r="Z5" s="1864" t="s">
        <v>1813</v>
      </c>
      <c r="AA5" s="1177" t="s">
        <v>1814</v>
      </c>
      <c r="AB5" s="1177" t="s">
        <v>1815</v>
      </c>
      <c r="AC5" s="67"/>
      <c r="AD5" s="67" t="s">
        <v>1816</v>
      </c>
      <c r="AE5" s="1176" t="s">
        <v>1817</v>
      </c>
      <c r="AF5" s="1177" t="s">
        <v>1818</v>
      </c>
      <c r="AG5" s="66" t="s">
        <v>1819</v>
      </c>
      <c r="AH5" s="1176" t="s">
        <v>1820</v>
      </c>
      <c r="AI5" s="1864" t="s">
        <v>1821</v>
      </c>
      <c r="AJ5" s="1864" t="s">
        <v>1822</v>
      </c>
      <c r="AK5" s="1177" t="s">
        <v>1823</v>
      </c>
      <c r="AL5" s="1177" t="s">
        <v>1824</v>
      </c>
      <c r="AM5" s="66" t="s">
        <v>1825</v>
      </c>
      <c r="AN5" s="1865" t="s">
        <v>1826</v>
      </c>
      <c r="AO5" s="1716" t="s">
        <v>1827</v>
      </c>
      <c r="AP5" s="1158"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车库</v>
      </c>
      <c r="B6" s="1868" t="str">
        <f>IF(A6=0,"","经营性")</f>
        <v>经营性</v>
      </c>
      <c r="C6" s="1869" t="s">
        <v>3136</v>
      </c>
      <c r="D6" s="966">
        <f>SUMIF(项目基本情况!D$12:I$12,C6,项目基本情况!D$14:I$14)</f>
        <v>50</v>
      </c>
      <c r="E6" s="965">
        <f>IF(B6="","",SUMIF(项目基本情况!D$12:I$12,C6,项目基本情况!D$13:I$13))</f>
        <v>62594</v>
      </c>
      <c r="F6" s="68">
        <f>SUMIF(项目基本情况!D$12:I$12,C6,项目基本情况!D$15:I$15)</f>
        <v>49.25</v>
      </c>
      <c r="G6" s="69">
        <f>IF(ISERROR(ROUND(POWER(1+H6,D6-F6)*(POWER(1+H6,F6)-1)/(POWER(1+H6,D6)-1),3)),0,ROUND(POWER(1+H6,D6-F6)*(POWER(1+H6,F6)-1)/(POWER(1+H6,D6)-1),3))</f>
        <v>0.99399999999999999</v>
      </c>
      <c r="H6" s="740">
        <v>3.5000000000000003E-2</v>
      </c>
      <c r="I6" s="740">
        <v>3.5000000000000003E-2</v>
      </c>
      <c r="J6" s="70">
        <v>6.5000000000000002E-2</v>
      </c>
      <c r="K6" s="1160">
        <f>SUMIF('数据-汇总表'!C$19:C$33,A6,'数据-汇总表'!E$19:E$33)</f>
        <v>11780.21</v>
      </c>
      <c r="L6" s="741">
        <v>3500</v>
      </c>
      <c r="M6" s="71">
        <f t="shared" ref="M6:M14" si="0">ROUND(K6*L6/10000,0)</f>
        <v>4123</v>
      </c>
      <c r="N6" s="739">
        <v>1</v>
      </c>
      <c r="O6" s="71" t="str">
        <f>IF($N$5="成新度","——",ROUND(M6*N6,0))</f>
        <v>——</v>
      </c>
      <c r="P6" s="72" t="str">
        <f>IF($N$5="成新度","——",M6-O6)</f>
        <v>——</v>
      </c>
      <c r="Q6" s="742">
        <v>0.05</v>
      </c>
      <c r="R6" s="73">
        <f ca="1">SUMIF('数据-汇总表'!C$19:C$33,A6,'数据-汇总表'!R$19:R$27)</f>
        <v>6103.74</v>
      </c>
      <c r="S6" s="54">
        <f>IF('数据-汇总表'!$I$17="按面积比例",SUMIF('数据-汇总表'!C$19:C$33,A6,'数据-汇总表'!K$19:K$33),SUMIF('数据-汇总表'!C$19:C$33,A6,'数据-汇总表'!N$19:N$33))</f>
        <v>0</v>
      </c>
      <c r="T6" s="1305">
        <f>ROUND($L$14*S6/10000,0)</f>
        <v>0</v>
      </c>
      <c r="U6" s="74">
        <v>500</v>
      </c>
      <c r="V6" s="75">
        <v>1.4999999999999999E-2</v>
      </c>
      <c r="W6" s="75">
        <v>0.05</v>
      </c>
      <c r="X6" s="1170"/>
      <c r="Y6" s="76">
        <v>1</v>
      </c>
      <c r="Z6" s="77"/>
      <c r="AA6" s="70"/>
      <c r="AB6" s="70"/>
      <c r="AC6" s="1170"/>
      <c r="AD6" s="78"/>
      <c r="AE6" s="3251">
        <f>F6</f>
        <v>49.25</v>
      </c>
      <c r="AF6" s="1501"/>
      <c r="AG6" s="143">
        <f>IF(AF6="",0,AE6-AF6)</f>
        <v>0</v>
      </c>
      <c r="AH6" s="79">
        <v>272</v>
      </c>
      <c r="AI6" s="81">
        <v>12</v>
      </c>
      <c r="AJ6" s="82"/>
      <c r="AK6" s="83">
        <v>8.0000000000000002E-3</v>
      </c>
      <c r="AL6" s="84">
        <v>1E-3</v>
      </c>
      <c r="AM6" s="85">
        <v>5.0000000000000001E-3</v>
      </c>
      <c r="AN6" s="1870" t="s">
        <v>3144</v>
      </c>
      <c r="AO6" s="55">
        <f ca="1">SUMIF(INDIRECT("'"&amp;AN6&amp;"'"&amp;"!A:A"),"总价",INDIRECT("'"&amp;AN6&amp;"'"&amp;"!B:B"))</f>
        <v>1482</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t="str">
        <f>'数据-汇总表'!C20</f>
        <v>仓储</v>
      </c>
      <c r="B7" s="1868" t="str">
        <f t="shared" ref="B7:B13" si="1">IF(A7=0,"","经营性")</f>
        <v>经营性</v>
      </c>
      <c r="C7" s="1869" t="s">
        <v>3137</v>
      </c>
      <c r="D7" s="966">
        <f>SUMIF(项目基本情况!D$12:I$12,C7,项目基本情况!D$14:I$14)</f>
        <v>50</v>
      </c>
      <c r="E7" s="965">
        <f>IF(B7="","",SUMIF(项目基本情况!D$12:I$12,C7,项目基本情况!D$13:I$13))</f>
        <v>62594</v>
      </c>
      <c r="F7" s="68">
        <f>SUMIF(项目基本情况!D$12:I$12,C7,项目基本情况!D$15:I$15)</f>
        <v>49.25</v>
      </c>
      <c r="G7" s="69">
        <f t="shared" ref="G7:G11" si="2">IF(ISERROR(ROUND(POWER(1+H7,D7-F7)*(POWER(1+H7,F7)-1)/(POWER(1+H7,D7)-1),3)),0,ROUND(POWER(1+H7,D7-F7)*(POWER(1+H7,F7)-1)/(POWER(1+H7,D7)-1),3))</f>
        <v>0.99399999999999999</v>
      </c>
      <c r="H7" s="740">
        <v>3.5000000000000003E-2</v>
      </c>
      <c r="I7" s="740">
        <v>3.5000000000000003E-2</v>
      </c>
      <c r="J7" s="70">
        <v>6.5000000000000002E-2</v>
      </c>
      <c r="K7" s="1160">
        <f>SUMIF('数据-汇总表'!C$19:C$33,A7,'数据-汇总表'!E$19:E$33)</f>
        <v>9034.9699999999993</v>
      </c>
      <c r="L7" s="741">
        <v>3500</v>
      </c>
      <c r="M7" s="71">
        <f t="shared" si="0"/>
        <v>3162</v>
      </c>
      <c r="N7" s="739">
        <v>1</v>
      </c>
      <c r="O7" s="71" t="str">
        <f t="shared" ref="O7:O14" si="3">IF($N$5="成新度","——",ROUND(M7*N7,0))</f>
        <v>——</v>
      </c>
      <c r="P7" s="72" t="str">
        <f t="shared" ref="P7:P14" si="4">IF($N$5="成新度","——",M7-O7)</f>
        <v>——</v>
      </c>
      <c r="Q7" s="742">
        <v>0.05</v>
      </c>
      <c r="R7" s="73">
        <f ca="1">SUMIF('数据-汇总表'!C$19:C$33,A7,'数据-汇总表'!R$19:R$27)</f>
        <v>4681.33</v>
      </c>
      <c r="S7" s="54">
        <f>IF('数据-汇总表'!$I$17="按面积比例",SUMIF('数据-汇总表'!C$19:C$33,A7,'数据-汇总表'!K$19:K$33),SUMIF('数据-汇总表'!C$19:C$33,A7,'数据-汇总表'!N$19:N$33))</f>
        <v>0</v>
      </c>
      <c r="T7" s="1305">
        <f t="shared" ref="T7:T13" si="5">ROUND($L$14*S7/10000,0)</f>
        <v>0</v>
      </c>
      <c r="U7" s="74">
        <v>0.8</v>
      </c>
      <c r="V7" s="75">
        <v>1.4999999999999999E-2</v>
      </c>
      <c r="W7" s="75">
        <v>0.05</v>
      </c>
      <c r="X7" s="1170"/>
      <c r="Y7" s="76">
        <v>1</v>
      </c>
      <c r="Z7" s="77"/>
      <c r="AA7" s="70"/>
      <c r="AB7" s="70"/>
      <c r="AC7" s="1170"/>
      <c r="AD7" s="78"/>
      <c r="AE7" s="3251">
        <f>AE6</f>
        <v>49.25</v>
      </c>
      <c r="AF7" s="1501"/>
      <c r="AG7" s="143">
        <f t="shared" ref="AG7:AG13" si="6">IF(AF7="",0,AE7-AF7)</f>
        <v>0</v>
      </c>
      <c r="AH7" s="79">
        <f>面积表!J19</f>
        <v>9034.9699999999993</v>
      </c>
      <c r="AI7" s="81">
        <v>365</v>
      </c>
      <c r="AJ7" s="82"/>
      <c r="AK7" s="83">
        <v>5.0000000000000001E-3</v>
      </c>
      <c r="AL7" s="84">
        <v>5.0000000000000001E-4</v>
      </c>
      <c r="AM7" s="85">
        <v>5.0000000000000001E-3</v>
      </c>
      <c r="AN7" s="1870" t="s">
        <v>3142</v>
      </c>
      <c r="AO7" s="55">
        <f t="shared" ref="AO7:AO13" ca="1" si="7">SUMIF(INDIRECT("'"&amp;AN7&amp;"'"&amp;"!A:A"),"总价",INDIRECT("'"&amp;AN7&amp;"'"&amp;"!B:B"))</f>
        <v>5434</v>
      </c>
      <c r="AP7" s="1871">
        <f t="shared" ref="AP7:AP13" si="8">IF(C7="住宅",K7*L7,0)</f>
        <v>0</v>
      </c>
      <c r="AQ7" s="55">
        <f t="shared" ref="AQ7:AQ13" si="9">ROUND($L$14*$N$14*S7/10000,0)</f>
        <v>0</v>
      </c>
      <c r="AR7" s="55">
        <f t="shared" ref="AR7:AR13" si="10">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t="s">
        <v>3170</v>
      </c>
      <c r="D8" s="966">
        <f>SUMIF(项目基本情况!D$12:I$12,C8,项目基本情况!D$14:I$14)</f>
        <v>70</v>
      </c>
      <c r="E8" s="965" t="str">
        <f>IF(B8="","",SUMIF(项目基本情况!D$12:I$12,C8,项目基本情况!D$13:I$13))</f>
        <v/>
      </c>
      <c r="F8" s="68">
        <f>SUMIF(项目基本情况!D$12:I$12,C8,项目基本情况!D$15:I$15)</f>
        <v>69.260000000000005</v>
      </c>
      <c r="G8" s="69">
        <f t="shared" si="2"/>
        <v>0.998</v>
      </c>
      <c r="H8" s="740">
        <v>0.04</v>
      </c>
      <c r="I8" s="740">
        <v>4.4999999999999998E-2</v>
      </c>
      <c r="J8" s="70">
        <v>6.5000000000000002E-2</v>
      </c>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05">
        <f t="shared" si="5"/>
        <v>0</v>
      </c>
      <c r="U8" s="743"/>
      <c r="V8" s="744"/>
      <c r="W8" s="744"/>
      <c r="X8" s="1170"/>
      <c r="Y8" s="745"/>
      <c r="Z8" s="77"/>
      <c r="AA8" s="70"/>
      <c r="AB8" s="70"/>
      <c r="AC8" s="1170"/>
      <c r="AD8" s="78"/>
      <c r="AE8" s="1171">
        <f t="shared" ref="AE8:AE13" ca="1" si="11">IF(AN8="",0,SUMIF(INDIRECT("'"&amp;AN8&amp;"'"&amp;"!E:E"),$AE$5,INDIRECT("'"&amp;AN8&amp;"'"&amp;"!F:F")))</f>
        <v>0</v>
      </c>
      <c r="AF8" s="1501"/>
      <c r="AG8" s="143">
        <f t="shared" si="6"/>
        <v>0</v>
      </c>
      <c r="AH8" s="746"/>
      <c r="AI8" s="81"/>
      <c r="AJ8" s="82"/>
      <c r="AK8" s="747"/>
      <c r="AL8" s="748"/>
      <c r="AM8" s="749"/>
      <c r="AN8" s="1870"/>
      <c r="AO8" s="55" t="e">
        <f t="shared" ca="1" si="7"/>
        <v>#REF!</v>
      </c>
      <c r="AP8" s="1871">
        <f t="shared" si="8"/>
        <v>0</v>
      </c>
      <c r="AQ8" s="55">
        <f t="shared" si="9"/>
        <v>0</v>
      </c>
      <c r="AR8" s="55">
        <f t="shared" si="10"/>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5">
        <f t="shared" si="5"/>
        <v>0</v>
      </c>
      <c r="U9" s="74"/>
      <c r="V9" s="75"/>
      <c r="W9" s="75"/>
      <c r="X9" s="1170"/>
      <c r="Y9" s="76"/>
      <c r="Z9" s="77"/>
      <c r="AA9" s="70"/>
      <c r="AB9" s="70"/>
      <c r="AC9" s="1170"/>
      <c r="AD9" s="78"/>
      <c r="AE9" s="1171">
        <f t="shared" ca="1" si="11"/>
        <v>0</v>
      </c>
      <c r="AF9" s="1501"/>
      <c r="AG9" s="143">
        <f t="shared" si="6"/>
        <v>0</v>
      </c>
      <c r="AH9" s="79"/>
      <c r="AI9" s="81"/>
      <c r="AJ9" s="82"/>
      <c r="AK9" s="83"/>
      <c r="AL9" s="84"/>
      <c r="AM9" s="85"/>
      <c r="AN9" s="1870"/>
      <c r="AO9" s="55" t="e">
        <f t="shared" ca="1" si="7"/>
        <v>#REF!</v>
      </c>
      <c r="AP9" s="1871">
        <f t="shared" si="8"/>
        <v>0</v>
      </c>
      <c r="AQ9" s="55">
        <f t="shared" si="9"/>
        <v>0</v>
      </c>
      <c r="AR9" s="55">
        <f t="shared" si="10"/>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5">
        <f t="shared" si="5"/>
        <v>0</v>
      </c>
      <c r="U10" s="74"/>
      <c r="V10" s="75"/>
      <c r="W10" s="75"/>
      <c r="X10" s="1170"/>
      <c r="Y10" s="76"/>
      <c r="Z10" s="77"/>
      <c r="AA10" s="70"/>
      <c r="AB10" s="70"/>
      <c r="AC10" s="1170"/>
      <c r="AD10" s="78"/>
      <c r="AE10" s="1171">
        <f t="shared" ca="1" si="11"/>
        <v>0</v>
      </c>
      <c r="AF10" s="1501"/>
      <c r="AG10" s="143">
        <f t="shared" si="6"/>
        <v>0</v>
      </c>
      <c r="AH10" s="79"/>
      <c r="AI10" s="81"/>
      <c r="AJ10" s="82"/>
      <c r="AK10" s="83"/>
      <c r="AL10" s="84"/>
      <c r="AM10" s="85"/>
      <c r="AN10" s="1870"/>
      <c r="AO10" s="55" t="e">
        <f t="shared" ca="1" si="7"/>
        <v>#REF!</v>
      </c>
      <c r="AP10" s="1871">
        <f t="shared" si="8"/>
        <v>0</v>
      </c>
      <c r="AQ10" s="55">
        <f t="shared" si="9"/>
        <v>0</v>
      </c>
      <c r="AR10" s="55">
        <f t="shared" si="10"/>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5">
        <f t="shared" si="5"/>
        <v>0</v>
      </c>
      <c r="U11" s="79"/>
      <c r="V11" s="70"/>
      <c r="W11" s="70"/>
      <c r="X11" s="1170"/>
      <c r="Y11" s="76"/>
      <c r="Z11" s="89"/>
      <c r="AA11" s="70"/>
      <c r="AB11" s="70"/>
      <c r="AC11" s="1170"/>
      <c r="AD11" s="78"/>
      <c r="AE11" s="1171">
        <f t="shared" ca="1" si="11"/>
        <v>0</v>
      </c>
      <c r="AF11" s="1501"/>
      <c r="AG11" s="143">
        <f t="shared" si="6"/>
        <v>0</v>
      </c>
      <c r="AH11" s="79"/>
      <c r="AI11" s="81"/>
      <c r="AJ11" s="82"/>
      <c r="AK11" s="90"/>
      <c r="AL11" s="91"/>
      <c r="AM11" s="92"/>
      <c r="AN11" s="1870"/>
      <c r="AO11" s="55" t="e">
        <f t="shared" ca="1" si="7"/>
        <v>#REF!</v>
      </c>
      <c r="AP11" s="1871">
        <f t="shared" si="8"/>
        <v>0</v>
      </c>
      <c r="AQ11" s="55">
        <f t="shared" si="9"/>
        <v>0</v>
      </c>
      <c r="AR11" s="55">
        <f t="shared" si="10"/>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5">
        <f t="shared" si="5"/>
        <v>0</v>
      </c>
      <c r="U12" s="79"/>
      <c r="V12" s="70"/>
      <c r="W12" s="70"/>
      <c r="X12" s="1170"/>
      <c r="Y12" s="76"/>
      <c r="Z12" s="89"/>
      <c r="AA12" s="70"/>
      <c r="AB12" s="70"/>
      <c r="AC12" s="1170"/>
      <c r="AD12" s="78"/>
      <c r="AE12" s="1171">
        <f t="shared" ca="1" si="11"/>
        <v>0</v>
      </c>
      <c r="AF12" s="1501"/>
      <c r="AG12" s="143">
        <f t="shared" si="6"/>
        <v>0</v>
      </c>
      <c r="AH12" s="79"/>
      <c r="AI12" s="81"/>
      <c r="AJ12" s="82"/>
      <c r="AK12" s="90"/>
      <c r="AL12" s="91"/>
      <c r="AM12" s="92"/>
      <c r="AN12" s="1870"/>
      <c r="AO12" s="55" t="e">
        <f t="shared" ca="1" si="7"/>
        <v>#REF!</v>
      </c>
      <c r="AP12" s="1871">
        <f t="shared" si="8"/>
        <v>0</v>
      </c>
      <c r="AQ12" s="55">
        <f t="shared" si="9"/>
        <v>0</v>
      </c>
      <c r="AR12" s="55">
        <f t="shared" si="10"/>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5">
        <f t="shared" si="5"/>
        <v>0</v>
      </c>
      <c r="U13" s="74"/>
      <c r="V13" s="75"/>
      <c r="W13" s="75"/>
      <c r="X13" s="1170"/>
      <c r="Y13" s="76"/>
      <c r="Z13" s="77"/>
      <c r="AA13" s="70"/>
      <c r="AB13" s="70"/>
      <c r="AC13" s="1170"/>
      <c r="AD13" s="78"/>
      <c r="AE13" s="1171">
        <f t="shared" ca="1" si="11"/>
        <v>0</v>
      </c>
      <c r="AF13" s="1501"/>
      <c r="AG13" s="143">
        <f t="shared" si="6"/>
        <v>0</v>
      </c>
      <c r="AH13" s="79"/>
      <c r="AI13" s="81"/>
      <c r="AJ13" s="82"/>
      <c r="AK13" s="83"/>
      <c r="AL13" s="84"/>
      <c r="AM13" s="85"/>
      <c r="AN13" s="1870"/>
      <c r="AO13" s="55" t="e">
        <f t="shared" ca="1" si="7"/>
        <v>#REF!</v>
      </c>
      <c r="AP13" s="1871">
        <f t="shared" si="8"/>
        <v>0</v>
      </c>
      <c r="AQ13" s="55">
        <f t="shared" si="9"/>
        <v>0</v>
      </c>
      <c r="AR13" s="55">
        <f t="shared" si="10"/>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05"/>
      <c r="U14" s="678"/>
      <c r="V14" s="1165"/>
      <c r="W14" s="1165"/>
      <c r="X14" s="1166"/>
      <c r="Y14" s="1167"/>
      <c r="Z14" s="1168"/>
      <c r="AA14" s="1169"/>
      <c r="AB14" s="1169"/>
      <c r="AC14" s="1170"/>
      <c r="AD14" s="1166"/>
      <c r="AE14" s="1171"/>
      <c r="AF14" s="55"/>
      <c r="AG14" s="143"/>
      <c r="AH14" s="1171"/>
      <c r="AI14" s="1510"/>
      <c r="AJ14" s="712"/>
      <c r="AK14" s="1172"/>
      <c r="AL14" s="1173"/>
      <c r="AM14" s="1174"/>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6"/>
      <c r="E15" s="965"/>
      <c r="F15" s="68"/>
      <c r="G15" s="69"/>
      <c r="H15" s="1159"/>
      <c r="I15" s="1159"/>
      <c r="J15" s="1159"/>
      <c r="K15" s="1160">
        <f>SUMIF('数据-汇总表'!C$19:C$33,A15,'数据-汇总表'!E$19:E$33)</f>
        <v>0</v>
      </c>
      <c r="L15" s="1161"/>
      <c r="M15" s="71"/>
      <c r="N15" s="1162"/>
      <c r="O15" s="71"/>
      <c r="P15" s="72"/>
      <c r="Q15" s="1163"/>
      <c r="R15" s="73"/>
      <c r="S15" s="54"/>
      <c r="T15" s="1305"/>
      <c r="U15" s="678"/>
      <c r="V15" s="1165"/>
      <c r="W15" s="1165"/>
      <c r="X15" s="1166"/>
      <c r="Y15" s="1167"/>
      <c r="Z15" s="1168"/>
      <c r="AA15" s="1169"/>
      <c r="AB15" s="1169"/>
      <c r="AC15" s="1170"/>
      <c r="AD15" s="1166"/>
      <c r="AE15" s="1171"/>
      <c r="AF15" s="55"/>
      <c r="AG15" s="143"/>
      <c r="AH15" s="1171"/>
      <c r="AI15" s="1510"/>
      <c r="AJ15" s="712"/>
      <c r="AK15" s="1172"/>
      <c r="AL15" s="1173"/>
      <c r="AM15" s="1174"/>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1"/>
      <c r="D16" s="1875"/>
      <c r="E16" s="93"/>
      <c r="F16" s="93"/>
      <c r="G16" s="94">
        <f>ROUND(SUMPRODUCT(G6:G13,K6:K13)/SUMPRODUCT((G6:G13&gt;0)*(K6:K13)),3)</f>
        <v>0.99399999999999999</v>
      </c>
      <c r="H16" s="95">
        <f>ROUND(SUMPRODUCT(H6:H13,K6:K13)/SUMPRODUCT((H6:H13&gt;0)*(K6:K13)),3)</f>
        <v>3.5000000000000003E-2</v>
      </c>
      <c r="I16" s="96"/>
      <c r="J16" s="96"/>
      <c r="K16" s="97">
        <f>SUM(K6:K15)</f>
        <v>20815.18</v>
      </c>
      <c r="L16" s="98">
        <f>ROUND(M16*10000/SUM(K6:K14),0)</f>
        <v>3500</v>
      </c>
      <c r="M16" s="98">
        <f>SUM(M6:M14)</f>
        <v>7285</v>
      </c>
      <c r="N16" s="99">
        <f>ROUND(SUMPRODUCT(M6:M14,N6:N14)/M16,3)</f>
        <v>1</v>
      </c>
      <c r="O16" s="98">
        <f>SUM(O6:O14)</f>
        <v>0</v>
      </c>
      <c r="P16" s="98">
        <f>SUM(P6:P14)</f>
        <v>0</v>
      </c>
      <c r="Q16" s="100">
        <f>ROUND(SUMPRODUCT(Q6:Q13,K6:K13)/SUMPRODUCT((Q6:Q13&gt;0)*(K6:K13)),2)</f>
        <v>0.05</v>
      </c>
      <c r="R16" s="1164">
        <f ca="1">SUM(R6:R13)</f>
        <v>10785.07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v>0</v>
      </c>
      <c r="C19" s="2999" t="s">
        <v>2989</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2987</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v>160</v>
      </c>
      <c r="C27" s="3001" t="s">
        <v>2991</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1848</v>
      </c>
      <c r="B29" s="117">
        <v>160</v>
      </c>
      <c r="C29" s="3002" t="s">
        <v>2978</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1849</v>
      </c>
      <c r="B30" s="679">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1851</v>
      </c>
      <c r="B32" s="680">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27">
      <c r="A33" s="1882" t="s">
        <v>1852</v>
      </c>
      <c r="B33" s="681">
        <v>0.05</v>
      </c>
      <c r="C33" s="3003" t="s">
        <v>2979</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1853</v>
      </c>
      <c r="B34" s="118">
        <v>0.05</v>
      </c>
      <c r="C34" s="3003" t="s">
        <v>2980</v>
      </c>
      <c r="D34" s="2882" t="s">
        <v>2988</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27">
      <c r="A35" s="1884" t="s">
        <v>1854</v>
      </c>
      <c r="B35" s="115">
        <v>200</v>
      </c>
      <c r="C35" s="3003" t="s">
        <v>2981</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27.75" thickBot="1">
      <c r="A36" s="1885" t="s">
        <v>1855</v>
      </c>
      <c r="B36" s="119">
        <v>1.4999999999999999E-2</v>
      </c>
      <c r="C36" s="3003" t="s">
        <v>2982</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0.02</v>
      </c>
      <c r="C37" s="3003" t="s">
        <v>2983</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0.02</v>
      </c>
      <c r="C38" s="3003" t="s">
        <v>2983</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2">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15" thickBot="1">
      <c r="A40" s="3015" t="s">
        <v>2999</v>
      </c>
      <c r="B40" s="1209">
        <v>4.7500000000000001E-2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2992</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2984</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2985</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2993</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2984</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2986</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56</v>
      </c>
      <c r="C53" s="2857" t="s">
        <v>1872</v>
      </c>
      <c r="D53" s="3004" t="s">
        <v>2990</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f>C59</f>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0"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0"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0"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0"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0"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6"/>
    <col min="30" max="16384" width="9" style="1841"/>
  </cols>
  <sheetData>
    <row r="1" spans="1:29" s="2652" customFormat="1" ht="18.75" thickBot="1">
      <c r="A1" s="3350" t="s">
        <v>2970</v>
      </c>
      <c r="B1" s="3351"/>
      <c r="C1" s="3351"/>
      <c r="D1" s="3351"/>
      <c r="E1" s="3351"/>
      <c r="F1" s="3351"/>
      <c r="G1" s="3351"/>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2965</v>
      </c>
      <c r="D2" s="2656"/>
      <c r="E2" s="2653"/>
      <c r="F2" s="2657"/>
      <c r="G2" s="2655" t="s">
        <v>2966</v>
      </c>
      <c r="H2" s="906"/>
      <c r="I2" s="906"/>
      <c r="J2" s="906"/>
      <c r="K2" s="906"/>
      <c r="L2" s="906"/>
      <c r="M2" s="906"/>
      <c r="N2" s="906"/>
      <c r="O2" s="906"/>
      <c r="P2" s="906"/>
      <c r="Q2" s="906"/>
      <c r="R2" s="906"/>
    </row>
    <row r="3" spans="1:29" ht="48">
      <c r="A3" s="2636" t="s">
        <v>2967</v>
      </c>
      <c r="B3" s="2658" t="s">
        <v>2936</v>
      </c>
      <c r="C3" s="2659" t="s">
        <v>2968</v>
      </c>
      <c r="D3" s="2660"/>
      <c r="E3" s="2637" t="s">
        <v>2967</v>
      </c>
      <c r="F3" s="2661" t="s">
        <v>2937</v>
      </c>
      <c r="G3" s="2662" t="s">
        <v>2969</v>
      </c>
      <c r="H3" s="906"/>
      <c r="I3" s="906"/>
      <c r="J3" s="906"/>
      <c r="K3" s="906"/>
      <c r="L3" s="906"/>
      <c r="M3" s="906"/>
      <c r="N3" s="906"/>
      <c r="O3" s="906"/>
      <c r="P3" s="906"/>
      <c r="Q3" s="906"/>
      <c r="R3" s="906"/>
    </row>
    <row r="4" spans="1:29" ht="36.75">
      <c r="A4" s="2637"/>
      <c r="B4" s="328" t="s">
        <v>2938</v>
      </c>
      <c r="C4" s="2663" t="s">
        <v>2939</v>
      </c>
      <c r="D4" s="2660"/>
      <c r="E4" s="2664"/>
      <c r="F4" s="1526" t="s">
        <v>2940</v>
      </c>
      <c r="G4" s="2665" t="s">
        <v>2941</v>
      </c>
      <c r="H4" s="906"/>
      <c r="I4" s="906"/>
      <c r="J4" s="906"/>
      <c r="K4" s="906"/>
      <c r="L4" s="906"/>
      <c r="M4" s="906"/>
      <c r="N4" s="906"/>
      <c r="O4" s="906"/>
      <c r="P4" s="906"/>
      <c r="Q4" s="906"/>
      <c r="R4" s="906"/>
    </row>
    <row r="5" spans="1:29" ht="36.75">
      <c r="A5" s="2637"/>
      <c r="B5" s="328" t="s">
        <v>2942</v>
      </c>
      <c r="C5" s="2663" t="s">
        <v>2943</v>
      </c>
      <c r="D5" s="2660"/>
      <c r="E5" s="2664"/>
      <c r="F5" s="328" t="s">
        <v>2944</v>
      </c>
      <c r="G5" s="2665" t="s">
        <v>2945</v>
      </c>
      <c r="H5" s="906"/>
      <c r="I5" s="906"/>
      <c r="J5" s="906"/>
      <c r="K5" s="906"/>
      <c r="L5" s="906"/>
      <c r="M5" s="906"/>
      <c r="N5" s="906"/>
      <c r="O5" s="906"/>
      <c r="P5" s="906"/>
      <c r="Q5" s="906"/>
      <c r="R5" s="906"/>
    </row>
    <row r="6" spans="1:29" ht="36">
      <c r="A6" s="2637"/>
      <c r="B6" s="328" t="s">
        <v>2946</v>
      </c>
      <c r="C6" s="2665" t="s">
        <v>2941</v>
      </c>
      <c r="D6" s="2660"/>
      <c r="E6" s="2664"/>
      <c r="F6" s="328" t="s">
        <v>2947</v>
      </c>
      <c r="G6" s="2665" t="s">
        <v>2948</v>
      </c>
      <c r="H6" s="906"/>
      <c r="I6" s="906"/>
      <c r="J6" s="906"/>
      <c r="K6" s="906"/>
      <c r="L6" s="906"/>
      <c r="M6" s="906"/>
      <c r="N6" s="906"/>
      <c r="O6" s="906"/>
      <c r="P6" s="906"/>
      <c r="Q6" s="906"/>
      <c r="R6" s="906"/>
    </row>
    <row r="7" spans="1:29" ht="24.75" thickBot="1">
      <c r="A7" s="2637"/>
      <c r="B7" s="328" t="s">
        <v>2944</v>
      </c>
      <c r="C7" s="2665" t="s">
        <v>2945</v>
      </c>
      <c r="D7" s="2666"/>
      <c r="E7" s="2667"/>
      <c r="F7" s="2668" t="s">
        <v>2949</v>
      </c>
      <c r="G7" s="2669" t="s">
        <v>2950</v>
      </c>
      <c r="H7" s="906"/>
      <c r="I7" s="906"/>
      <c r="J7" s="906"/>
      <c r="K7" s="906"/>
      <c r="L7" s="906"/>
      <c r="M7" s="906"/>
      <c r="N7" s="906"/>
      <c r="O7" s="906"/>
      <c r="P7" s="906"/>
      <c r="Q7" s="906"/>
      <c r="R7" s="906"/>
    </row>
    <row r="8" spans="1:29">
      <c r="A8" s="2637"/>
      <c r="B8" s="328" t="s">
        <v>2947</v>
      </c>
      <c r="C8" s="2665" t="s">
        <v>2948</v>
      </c>
      <c r="D8" s="2666"/>
      <c r="E8" s="2666"/>
      <c r="F8" s="2670"/>
      <c r="G8" s="2670"/>
      <c r="H8" s="906"/>
      <c r="I8" s="906"/>
      <c r="J8" s="906"/>
      <c r="K8" s="906"/>
      <c r="L8" s="906"/>
      <c r="M8" s="906"/>
      <c r="N8" s="906"/>
      <c r="O8" s="906"/>
      <c r="P8" s="906"/>
      <c r="Q8" s="906"/>
      <c r="R8" s="906"/>
    </row>
    <row r="9" spans="1:29" ht="24">
      <c r="A9" s="2637"/>
      <c r="B9" s="328" t="s">
        <v>2951</v>
      </c>
      <c r="C9" s="2663" t="s">
        <v>2952</v>
      </c>
      <c r="D9" s="2660"/>
      <c r="E9" s="2666"/>
      <c r="F9" s="2670"/>
      <c r="G9" s="2670"/>
      <c r="H9" s="906"/>
      <c r="I9" s="906"/>
      <c r="J9" s="906"/>
      <c r="K9" s="906"/>
      <c r="L9" s="906"/>
      <c r="M9" s="906"/>
      <c r="N9" s="906"/>
      <c r="O9" s="906"/>
      <c r="P9" s="906"/>
      <c r="Q9" s="906"/>
      <c r="R9" s="906"/>
    </row>
    <row r="10" spans="1:29" s="2676" customFormat="1" ht="15" thickBot="1">
      <c r="A10" s="2638"/>
      <c r="B10" s="2671" t="s">
        <v>2953</v>
      </c>
      <c r="C10" s="2672"/>
      <c r="D10" s="2660"/>
      <c r="E10" s="2660"/>
      <c r="F10" s="2670"/>
      <c r="G10" s="2670"/>
      <c r="H10" s="2673"/>
      <c r="I10" s="2674"/>
      <c r="J10" s="2675"/>
      <c r="K10" s="2673"/>
      <c r="L10" s="2674"/>
      <c r="M10" s="2675"/>
      <c r="N10" s="2673"/>
      <c r="O10" s="2674"/>
      <c r="P10" s="2675"/>
      <c r="Q10" s="2673"/>
      <c r="R10" s="2674"/>
      <c r="S10" s="906"/>
      <c r="T10" s="906"/>
      <c r="U10" s="906"/>
      <c r="V10" s="906"/>
      <c r="W10" s="906"/>
      <c r="X10" s="906"/>
      <c r="Y10" s="906"/>
      <c r="Z10" s="906"/>
      <c r="AA10" s="906"/>
      <c r="AB10" s="906"/>
      <c r="AC10" s="906"/>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6"/>
      <c r="T11" s="906"/>
      <c r="U11" s="906"/>
      <c r="V11" s="906"/>
      <c r="W11" s="906"/>
      <c r="X11" s="906"/>
      <c r="Y11" s="906"/>
      <c r="Z11" s="906"/>
      <c r="AA11" s="906"/>
      <c r="AB11" s="906"/>
      <c r="AC11" s="906"/>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2971</v>
      </c>
      <c r="B13" s="2679"/>
      <c r="C13" s="2679"/>
      <c r="D13" s="2677"/>
      <c r="E13" s="2679"/>
      <c r="F13" s="2679"/>
      <c r="G13" s="2679"/>
    </row>
    <row r="14" spans="1:29" ht="15" thickBot="1">
      <c r="A14" s="2689"/>
      <c r="B14" s="2689"/>
      <c r="C14" s="2690" t="s">
        <v>2954</v>
      </c>
      <c r="D14" s="2660"/>
      <c r="E14" s="2691"/>
      <c r="F14" s="2691"/>
      <c r="G14" s="2655" t="s">
        <v>2955</v>
      </c>
    </row>
    <row r="15" spans="1:29" ht="51">
      <c r="A15" s="2639" t="s">
        <v>2956</v>
      </c>
      <c r="B15" s="2692" t="s">
        <v>2936</v>
      </c>
      <c r="C15" s="2693" t="str">
        <f>C3</f>
        <v>估价对象周边居住用地比例、居住小区规模和社区发展完善程度，综合评价居住社区成熟度一般</v>
      </c>
      <c r="D15" s="2660"/>
      <c r="E15" s="2640" t="s">
        <v>2957</v>
      </c>
      <c r="F15" s="2692" t="s">
        <v>2958</v>
      </c>
      <c r="G15" s="2694" t="str">
        <f>G3</f>
        <v>估价对象位于XX开发区，园区建设成熟度XX，产业集聚程度XX</v>
      </c>
    </row>
    <row r="16" spans="1:29" ht="38.25">
      <c r="A16" s="2641"/>
      <c r="B16" s="2695" t="s">
        <v>2938</v>
      </c>
      <c r="C16" s="2696" t="str">
        <f>C4</f>
        <v>估价对象位于XX商圈，周边商业氛围成熟，人流量大，商业繁华度好</v>
      </c>
      <c r="D16" s="2660"/>
      <c r="E16" s="2642"/>
      <c r="F16" s="2697" t="s">
        <v>2940</v>
      </c>
      <c r="G16" s="2698" t="str">
        <f>G4</f>
        <v>估价对象周边道路状况、公共交通通达情况、停车便捷程度，综合评价交通便捷度较好</v>
      </c>
    </row>
    <row r="17" spans="1:18" ht="38.25">
      <c r="A17" s="2641"/>
      <c r="B17" s="2695" t="s">
        <v>2942</v>
      </c>
      <c r="C17" s="2696" t="str">
        <f>C5</f>
        <v>估价对象位于XX商圈，周边办公楼项目较多，入驻率高，办公集聚程度较好</v>
      </c>
      <c r="D17" s="2666"/>
      <c r="E17" s="2642"/>
      <c r="F17" s="2697" t="s">
        <v>2959</v>
      </c>
      <c r="G17" s="2699"/>
    </row>
    <row r="18" spans="1:18" ht="38.25">
      <c r="A18" s="2641"/>
      <c r="B18" s="2697" t="s">
        <v>2946</v>
      </c>
      <c r="C18" s="2698" t="str">
        <f>C6</f>
        <v>估价对象周边道路状况、公共交通通达情况、停车便捷程度，综合评价交通便捷度较好</v>
      </c>
      <c r="D18" s="2666"/>
      <c r="E18" s="2642"/>
      <c r="F18" s="2697" t="s">
        <v>2949</v>
      </c>
      <c r="G18" s="2698" t="str">
        <f>G7</f>
        <v>该园区内是否有污染型企业，绿化情况，卫生条件，整体环境状况判断</v>
      </c>
    </row>
    <row r="19" spans="1:18" ht="25.5">
      <c r="A19" s="2641"/>
      <c r="B19" s="2697" t="s">
        <v>2960</v>
      </c>
      <c r="C19" s="2699"/>
      <c r="D19" s="2660"/>
      <c r="E19" s="2642"/>
      <c r="F19" s="328" t="s">
        <v>2944</v>
      </c>
      <c r="G19" s="2698" t="str">
        <f>G5</f>
        <v>估价对象所在区域公共配套设施齐备情况</v>
      </c>
    </row>
    <row r="20" spans="1:18" ht="25.5">
      <c r="A20" s="2641"/>
      <c r="B20" s="2697" t="s">
        <v>2961</v>
      </c>
      <c r="C20" s="2696" t="str">
        <f>C9</f>
        <v>区域自然环境：；人文环境；综合评价环境状况一般</v>
      </c>
      <c r="D20" s="2666"/>
      <c r="E20" s="2642"/>
      <c r="F20" s="328" t="s">
        <v>2947</v>
      </c>
      <c r="G20" s="2698" t="str">
        <f>G6</f>
        <v>估价对象所在区域基础设施水平</v>
      </c>
    </row>
    <row r="21" spans="1:18" ht="25.5">
      <c r="A21" s="2641"/>
      <c r="B21" s="328" t="s">
        <v>2944</v>
      </c>
      <c r="C21" s="2698" t="str">
        <f>C7</f>
        <v>估价对象所在区域公共配套设施齐备情况</v>
      </c>
      <c r="D21" s="2660"/>
      <c r="E21" s="2642"/>
      <c r="F21" s="2697" t="s">
        <v>2962</v>
      </c>
      <c r="G21" s="2700"/>
    </row>
    <row r="22" spans="1:18" ht="13.5" customHeight="1">
      <c r="A22" s="2641"/>
      <c r="B22" s="328" t="s">
        <v>2947</v>
      </c>
      <c r="C22" s="2698" t="str">
        <f>C8</f>
        <v>估价对象所在区域基础设施水平</v>
      </c>
      <c r="D22" s="2660"/>
      <c r="E22" s="2642"/>
      <c r="F22" s="2697" t="s">
        <v>2953</v>
      </c>
      <c r="G22" s="2699"/>
    </row>
    <row r="23" spans="1:18" s="906" customFormat="1" ht="15" thickBot="1">
      <c r="A23" s="2641"/>
      <c r="B23" s="2697" t="s">
        <v>2962</v>
      </c>
      <c r="C23" s="2700"/>
      <c r="D23" s="1896"/>
      <c r="E23" s="2643"/>
      <c r="F23" s="2701" t="s">
        <v>2963</v>
      </c>
      <c r="G23" s="2702"/>
      <c r="H23" s="2686"/>
      <c r="I23" s="2687"/>
      <c r="J23" s="2686"/>
      <c r="K23" s="2686"/>
      <c r="L23" s="2687"/>
      <c r="M23" s="2686"/>
      <c r="N23" s="2686"/>
      <c r="O23" s="2687"/>
      <c r="P23" s="2686"/>
      <c r="Q23" s="2686"/>
      <c r="R23" s="2688"/>
    </row>
    <row r="24" spans="1:18" s="906" customFormat="1" ht="15" thickBot="1">
      <c r="A24" s="2644"/>
      <c r="B24" s="2701" t="s">
        <v>2964</v>
      </c>
      <c r="C24" s="2703">
        <f>C10</f>
        <v>0</v>
      </c>
      <c r="D24" s="1896"/>
      <c r="E24" s="2634"/>
      <c r="F24" s="2634"/>
      <c r="G24" s="2704"/>
      <c r="H24" s="2686"/>
      <c r="I24" s="2687"/>
      <c r="J24" s="2686"/>
      <c r="K24" s="2686"/>
      <c r="L24" s="2687"/>
      <c r="M24" s="2686"/>
      <c r="N24" s="2686"/>
      <c r="O24" s="2687"/>
      <c r="P24" s="2686"/>
      <c r="Q24" s="2686"/>
      <c r="R24" s="2688"/>
    </row>
    <row r="25" spans="1:18" s="906" customFormat="1">
      <c r="B25" s="2686"/>
      <c r="C25" s="2686"/>
      <c r="D25" s="2686"/>
      <c r="H25" s="2686"/>
      <c r="I25" s="2687"/>
      <c r="J25" s="2686"/>
      <c r="K25" s="2686"/>
      <c r="L25" s="2687"/>
      <c r="M25" s="2686"/>
      <c r="N25" s="2686"/>
      <c r="O25" s="2687"/>
      <c r="P25" s="2686"/>
      <c r="Q25" s="2686"/>
      <c r="R25" s="2688"/>
    </row>
    <row r="26" spans="1:18" s="906" customFormat="1">
      <c r="B26" s="2686"/>
      <c r="C26" s="2686"/>
      <c r="D26" s="2686"/>
      <c r="H26" s="2686"/>
      <c r="I26" s="2687"/>
      <c r="J26" s="2686"/>
      <c r="K26" s="2686"/>
      <c r="L26" s="2687"/>
      <c r="M26" s="2686"/>
      <c r="N26" s="2686"/>
      <c r="O26" s="2687"/>
      <c r="P26" s="2686"/>
      <c r="Q26" s="2686"/>
      <c r="R26" s="2688"/>
    </row>
    <row r="27" spans="1:18" s="906" customFormat="1">
      <c r="B27" s="2686"/>
      <c r="C27" s="2686"/>
      <c r="D27" s="2686"/>
      <c r="H27" s="2686"/>
      <c r="I27" s="2687"/>
      <c r="J27" s="2686"/>
      <c r="K27" s="2686"/>
      <c r="L27" s="2687"/>
      <c r="M27" s="2686"/>
      <c r="N27" s="2686"/>
      <c r="O27" s="2687"/>
      <c r="P27" s="2686"/>
      <c r="Q27" s="2686"/>
      <c r="R27" s="2688"/>
    </row>
    <row r="28" spans="1:18" s="906" customFormat="1">
      <c r="B28" s="2686"/>
      <c r="C28" s="2686"/>
      <c r="D28" s="2686"/>
      <c r="H28" s="2686"/>
      <c r="I28" s="2687"/>
      <c r="J28" s="2686"/>
      <c r="K28" s="2686"/>
      <c r="L28" s="2687"/>
      <c r="M28" s="2686"/>
      <c r="N28" s="2686"/>
      <c r="O28" s="2687"/>
      <c r="P28" s="2686"/>
      <c r="Q28" s="2686"/>
      <c r="R28" s="2688"/>
    </row>
    <row r="29" spans="1:18" s="906" customFormat="1">
      <c r="B29" s="2686"/>
      <c r="C29" s="2686"/>
      <c r="D29" s="2686"/>
      <c r="H29" s="2686"/>
      <c r="I29" s="2687"/>
      <c r="J29" s="2686"/>
      <c r="K29" s="2686"/>
      <c r="L29" s="2687"/>
      <c r="M29" s="2686"/>
      <c r="N29" s="2686"/>
      <c r="O29" s="2687"/>
      <c r="P29" s="2686"/>
      <c r="Q29" s="2686"/>
      <c r="R29" s="2688"/>
    </row>
    <row r="30" spans="1:18" s="906" customFormat="1">
      <c r="B30" s="2686"/>
      <c r="C30" s="2686"/>
      <c r="D30" s="2686"/>
      <c r="H30" s="2686"/>
      <c r="I30" s="2687"/>
      <c r="J30" s="2686"/>
      <c r="K30" s="2686"/>
      <c r="L30" s="2687"/>
      <c r="M30" s="2686"/>
      <c r="N30" s="2686"/>
      <c r="O30" s="2687"/>
      <c r="P30" s="2686"/>
      <c r="Q30" s="2686"/>
      <c r="R30" s="2688"/>
    </row>
    <row r="31" spans="1:18" s="906" customFormat="1">
      <c r="B31" s="2686"/>
      <c r="C31" s="2686"/>
      <c r="D31" s="2686"/>
      <c r="H31" s="2686"/>
      <c r="I31" s="2687"/>
      <c r="J31" s="2686"/>
      <c r="K31" s="2686"/>
      <c r="L31" s="2687"/>
      <c r="M31" s="2686"/>
      <c r="N31" s="2686"/>
      <c r="O31" s="2687"/>
      <c r="P31" s="2686"/>
      <c r="Q31" s="2686"/>
      <c r="R31" s="2688"/>
    </row>
    <row r="32" spans="1:18" s="906" customFormat="1">
      <c r="B32" s="2686"/>
      <c r="C32" s="2686"/>
      <c r="D32" s="2686"/>
      <c r="H32" s="2686"/>
      <c r="I32" s="2687"/>
      <c r="J32" s="2686"/>
      <c r="K32" s="2686"/>
      <c r="L32" s="2687"/>
      <c r="M32" s="2686"/>
      <c r="N32" s="2686"/>
      <c r="O32" s="2687"/>
      <c r="P32" s="2686"/>
      <c r="Q32" s="2686"/>
      <c r="R32" s="2688"/>
    </row>
    <row r="33" spans="2:18" s="906" customFormat="1">
      <c r="B33" s="2686"/>
      <c r="C33" s="2686"/>
      <c r="D33" s="2686"/>
      <c r="H33" s="2686"/>
      <c r="I33" s="2687"/>
      <c r="J33" s="2686"/>
      <c r="K33" s="2686"/>
      <c r="L33" s="2687"/>
      <c r="M33" s="2686"/>
      <c r="N33" s="2686"/>
      <c r="O33" s="2687"/>
      <c r="P33" s="2686"/>
      <c r="Q33" s="2686"/>
      <c r="R33" s="2688"/>
    </row>
    <row r="34" spans="2:18" s="906" customFormat="1">
      <c r="B34" s="2686"/>
      <c r="C34" s="2686"/>
      <c r="D34" s="2686"/>
      <c r="H34" s="2686"/>
      <c r="I34" s="2687"/>
      <c r="J34" s="2686"/>
      <c r="K34" s="2686"/>
      <c r="L34" s="2687"/>
      <c r="M34" s="2686"/>
      <c r="N34" s="2686"/>
      <c r="O34" s="2687"/>
      <c r="P34" s="2686"/>
      <c r="Q34" s="2686"/>
      <c r="R34" s="2688"/>
    </row>
    <row r="35" spans="2:18" s="906" customFormat="1">
      <c r="B35" s="2686"/>
      <c r="C35" s="2686"/>
      <c r="D35" s="2686"/>
      <c r="H35" s="2686"/>
      <c r="I35" s="2687"/>
      <c r="J35" s="2686"/>
      <c r="K35" s="2686"/>
      <c r="L35" s="2687"/>
      <c r="M35" s="2686"/>
      <c r="N35" s="2686"/>
      <c r="O35" s="2687"/>
      <c r="P35" s="2686"/>
      <c r="Q35" s="2686"/>
      <c r="R35" s="2688"/>
    </row>
    <row r="36" spans="2:18" s="906" customFormat="1">
      <c r="B36" s="2686"/>
      <c r="C36" s="2686"/>
      <c r="D36" s="2686"/>
      <c r="H36" s="2686"/>
      <c r="I36" s="2687"/>
      <c r="J36" s="2686"/>
      <c r="K36" s="2686"/>
      <c r="L36" s="2687"/>
      <c r="M36" s="2686"/>
      <c r="N36" s="2686"/>
      <c r="O36" s="2687"/>
      <c r="P36" s="2686"/>
      <c r="Q36" s="2686"/>
      <c r="R36" s="2688"/>
    </row>
    <row r="37" spans="2:18" s="906" customFormat="1">
      <c r="B37" s="2686"/>
      <c r="C37" s="2686"/>
      <c r="D37" s="2686"/>
      <c r="H37" s="2686"/>
      <c r="I37" s="2687"/>
      <c r="J37" s="2686"/>
      <c r="K37" s="2686"/>
      <c r="L37" s="2687"/>
      <c r="M37" s="2686"/>
      <c r="N37" s="2686"/>
      <c r="O37" s="2687"/>
      <c r="P37" s="2686"/>
      <c r="Q37" s="2686"/>
      <c r="R37" s="2688"/>
    </row>
    <row r="38" spans="2:18" s="906" customFormat="1">
      <c r="B38" s="2686"/>
      <c r="C38" s="2686"/>
      <c r="D38" s="2686"/>
      <c r="E38" s="2686"/>
      <c r="F38" s="2686"/>
      <c r="G38" s="2687"/>
      <c r="H38" s="2686"/>
      <c r="I38" s="2687"/>
      <c r="J38" s="2686"/>
      <c r="K38" s="2686"/>
      <c r="L38" s="2687"/>
      <c r="M38" s="2686"/>
      <c r="N38" s="2686"/>
      <c r="O38" s="2687"/>
      <c r="P38" s="2686"/>
      <c r="Q38" s="2686"/>
      <c r="R38" s="2688"/>
    </row>
    <row r="39" spans="2:18" s="906" customFormat="1">
      <c r="B39" s="2686"/>
      <c r="C39" s="2686"/>
      <c r="D39" s="2686"/>
      <c r="E39" s="2686"/>
      <c r="F39" s="2686"/>
      <c r="G39" s="2687"/>
      <c r="H39" s="2686"/>
      <c r="I39" s="2687"/>
      <c r="J39" s="2686"/>
      <c r="K39" s="2686"/>
      <c r="L39" s="2687"/>
      <c r="M39" s="2686"/>
      <c r="N39" s="2686"/>
      <c r="O39" s="2687"/>
      <c r="P39" s="2686"/>
      <c r="Q39" s="2686"/>
      <c r="R39" s="2688"/>
    </row>
    <row r="40" spans="2:18" s="906" customFormat="1">
      <c r="B40" s="2686"/>
      <c r="C40" s="2686"/>
      <c r="D40" s="2686"/>
      <c r="E40" s="2686"/>
      <c r="F40" s="2686"/>
      <c r="G40" s="2687"/>
      <c r="H40" s="2686"/>
      <c r="I40" s="2687"/>
      <c r="J40" s="2686"/>
      <c r="K40" s="2686"/>
      <c r="L40" s="2687"/>
      <c r="M40" s="2686"/>
      <c r="N40" s="2686"/>
      <c r="O40" s="2687"/>
      <c r="P40" s="2686"/>
      <c r="Q40" s="2686"/>
      <c r="R40" s="2688"/>
    </row>
    <row r="41" spans="2:18" s="906" customFormat="1">
      <c r="B41" s="2686"/>
      <c r="C41" s="2686"/>
      <c r="D41" s="2686"/>
      <c r="E41" s="2686"/>
      <c r="F41" s="2686"/>
      <c r="G41" s="2687"/>
      <c r="H41" s="2686"/>
      <c r="I41" s="2687"/>
      <c r="J41" s="2686"/>
      <c r="K41" s="2686"/>
      <c r="L41" s="2687"/>
      <c r="M41" s="2686"/>
      <c r="N41" s="2686"/>
      <c r="O41" s="2687"/>
      <c r="P41" s="2686"/>
      <c r="Q41" s="2686"/>
      <c r="R41" s="2688"/>
    </row>
    <row r="42" spans="2:18" s="906" customFormat="1">
      <c r="B42" s="2686"/>
      <c r="C42" s="2686"/>
      <c r="D42" s="2686"/>
      <c r="E42" s="2686"/>
      <c r="F42" s="2686"/>
      <c r="G42" s="2687"/>
      <c r="H42" s="2686"/>
      <c r="I42" s="2687"/>
      <c r="J42" s="2686"/>
      <c r="K42" s="2686"/>
      <c r="L42" s="2687"/>
      <c r="M42" s="2686"/>
      <c r="N42" s="2686"/>
      <c r="O42" s="2687"/>
      <c r="P42" s="2686"/>
      <c r="Q42" s="2686"/>
      <c r="R42" s="2688"/>
    </row>
    <row r="43" spans="2:18" s="906" customFormat="1">
      <c r="B43" s="2686"/>
      <c r="C43" s="2686"/>
      <c r="D43" s="2686"/>
      <c r="E43" s="2686"/>
      <c r="F43" s="2686"/>
      <c r="G43" s="2687"/>
      <c r="H43" s="2686"/>
      <c r="I43" s="2687"/>
      <c r="J43" s="2686"/>
      <c r="K43" s="2686"/>
      <c r="L43" s="2687"/>
      <c r="M43" s="2686"/>
      <c r="N43" s="2686"/>
      <c r="O43" s="2687"/>
      <c r="P43" s="2686"/>
      <c r="Q43" s="2686"/>
      <c r="R43" s="2688"/>
    </row>
    <row r="44" spans="2:18" s="906" customFormat="1">
      <c r="B44" s="2686"/>
      <c r="C44" s="2686"/>
      <c r="D44" s="2686"/>
      <c r="E44" s="2686"/>
      <c r="F44" s="2686"/>
      <c r="G44" s="2687"/>
      <c r="H44" s="2686"/>
      <c r="I44" s="2687"/>
      <c r="J44" s="2686"/>
      <c r="K44" s="2686"/>
      <c r="L44" s="2687"/>
      <c r="M44" s="2686"/>
      <c r="N44" s="2686"/>
      <c r="O44" s="2687"/>
      <c r="P44" s="2686"/>
      <c r="Q44" s="2686"/>
      <c r="R44" s="2688"/>
    </row>
    <row r="45" spans="2:18" s="906" customFormat="1">
      <c r="B45" s="2686"/>
      <c r="C45" s="2686"/>
      <c r="D45" s="2686"/>
      <c r="E45" s="2686"/>
      <c r="F45" s="2686"/>
      <c r="G45" s="2687"/>
      <c r="H45" s="2686"/>
      <c r="I45" s="2687"/>
      <c r="J45" s="2686"/>
      <c r="K45" s="2686"/>
      <c r="L45" s="2687"/>
      <c r="M45" s="2686"/>
      <c r="N45" s="2686"/>
      <c r="O45" s="2687"/>
      <c r="P45" s="2686"/>
      <c r="Q45" s="2686"/>
      <c r="R45" s="2688"/>
    </row>
    <row r="46" spans="2:18" s="906" customFormat="1">
      <c r="B46" s="2686"/>
      <c r="C46" s="2686"/>
      <c r="D46" s="2686"/>
      <c r="E46" s="2686"/>
      <c r="F46" s="2686"/>
      <c r="G46" s="2687"/>
      <c r="H46" s="2686"/>
      <c r="I46" s="2687"/>
      <c r="J46" s="2686"/>
      <c r="K46" s="2686"/>
      <c r="L46" s="2687"/>
      <c r="M46" s="2686"/>
      <c r="N46" s="2686"/>
      <c r="O46" s="2687"/>
      <c r="P46" s="2686"/>
      <c r="Q46" s="2686"/>
      <c r="R46" s="2688"/>
    </row>
    <row r="47" spans="2:18" s="906" customFormat="1">
      <c r="B47" s="2686"/>
      <c r="C47" s="2686"/>
      <c r="D47" s="2686"/>
      <c r="E47" s="2686"/>
      <c r="F47" s="2686"/>
      <c r="G47" s="2687"/>
      <c r="H47" s="2686"/>
      <c r="I47" s="2687"/>
      <c r="J47" s="2686"/>
      <c r="K47" s="2686"/>
      <c r="L47" s="2687"/>
      <c r="M47" s="2686"/>
      <c r="N47" s="2686"/>
      <c r="O47" s="2687"/>
      <c r="P47" s="2686"/>
      <c r="Q47" s="2686"/>
      <c r="R47" s="2688"/>
    </row>
    <row r="48" spans="2:18" s="906" customFormat="1">
      <c r="B48" s="2686"/>
      <c r="C48" s="2686"/>
      <c r="D48" s="2686"/>
      <c r="E48" s="2686"/>
      <c r="F48" s="2686"/>
      <c r="G48" s="2687"/>
      <c r="H48" s="2686"/>
      <c r="I48" s="2687"/>
      <c r="J48" s="2686"/>
      <c r="K48" s="2686"/>
      <c r="L48" s="2687"/>
      <c r="M48" s="2686"/>
      <c r="N48" s="2686"/>
      <c r="O48" s="2687"/>
      <c r="P48" s="2686"/>
      <c r="Q48" s="2686"/>
      <c r="R48" s="2688"/>
    </row>
    <row r="49" spans="2:18" s="906" customFormat="1">
      <c r="B49" s="2686"/>
      <c r="C49" s="2686"/>
      <c r="D49" s="2686"/>
      <c r="E49" s="2686"/>
      <c r="F49" s="2686"/>
      <c r="G49" s="2687"/>
      <c r="H49" s="2686"/>
      <c r="I49" s="2687"/>
      <c r="J49" s="2686"/>
      <c r="K49" s="2686"/>
      <c r="L49" s="2687"/>
      <c r="M49" s="2686"/>
      <c r="N49" s="2686"/>
      <c r="O49" s="2687"/>
      <c r="P49" s="2686"/>
      <c r="Q49" s="2686"/>
      <c r="R49" s="2688"/>
    </row>
    <row r="50" spans="2:18" s="906" customFormat="1">
      <c r="B50" s="2686"/>
      <c r="C50" s="2686"/>
      <c r="D50" s="2686"/>
      <c r="E50" s="2686"/>
      <c r="F50" s="2686"/>
      <c r="G50" s="2687"/>
      <c r="H50" s="2686"/>
      <c r="I50" s="2687"/>
      <c r="J50" s="2686"/>
      <c r="K50" s="2686"/>
      <c r="L50" s="2687"/>
      <c r="M50" s="2686"/>
      <c r="N50" s="2686"/>
      <c r="O50" s="2687"/>
      <c r="P50" s="2686"/>
      <c r="Q50" s="2686"/>
      <c r="R50" s="2688"/>
    </row>
    <row r="51" spans="2:18" s="906" customFormat="1">
      <c r="B51" s="2686"/>
      <c r="C51" s="2686"/>
      <c r="D51" s="2686"/>
      <c r="E51" s="2686"/>
      <c r="F51" s="2686"/>
      <c r="G51" s="2687"/>
      <c r="H51" s="2686"/>
      <c r="I51" s="2687"/>
      <c r="J51" s="2686"/>
      <c r="K51" s="2686"/>
      <c r="L51" s="2687"/>
      <c r="M51" s="2686"/>
      <c r="N51" s="2686"/>
      <c r="O51" s="2687"/>
      <c r="P51" s="2686"/>
      <c r="Q51" s="2686"/>
      <c r="R51" s="2688"/>
    </row>
    <row r="52" spans="2:18" s="906" customFormat="1">
      <c r="B52" s="2686"/>
      <c r="C52" s="2686"/>
      <c r="D52" s="2686"/>
      <c r="E52" s="2686"/>
      <c r="F52" s="2686"/>
      <c r="G52" s="2687"/>
      <c r="H52" s="2686"/>
      <c r="I52" s="2687"/>
      <c r="J52" s="2686"/>
      <c r="K52" s="2686"/>
      <c r="L52" s="2687"/>
      <c r="M52" s="2686"/>
      <c r="N52" s="2686"/>
      <c r="O52" s="2687"/>
      <c r="P52" s="2686"/>
      <c r="Q52" s="2686"/>
      <c r="R52" s="2688"/>
    </row>
    <row r="53" spans="2:18" s="906" customFormat="1">
      <c r="B53" s="2686"/>
      <c r="C53" s="2686"/>
      <c r="D53" s="2686"/>
      <c r="E53" s="2686"/>
      <c r="F53" s="2686"/>
      <c r="G53" s="2687"/>
      <c r="H53" s="2686"/>
      <c r="I53" s="2687"/>
      <c r="J53" s="2686"/>
      <c r="K53" s="2686"/>
      <c r="L53" s="2687"/>
      <c r="M53" s="2686"/>
      <c r="N53" s="2686"/>
      <c r="O53" s="2687"/>
      <c r="P53" s="2686"/>
      <c r="Q53" s="2686"/>
      <c r="R53" s="2688"/>
    </row>
    <row r="54" spans="2:18" s="906" customFormat="1">
      <c r="B54" s="2686"/>
      <c r="C54" s="2686"/>
      <c r="D54" s="2686"/>
      <c r="E54" s="2686"/>
      <c r="F54" s="2686"/>
      <c r="G54" s="2687"/>
      <c r="H54" s="2686"/>
      <c r="I54" s="2687"/>
      <c r="J54" s="2686"/>
      <c r="K54" s="2686"/>
      <c r="L54" s="2687"/>
      <c r="M54" s="2686"/>
      <c r="N54" s="2686"/>
      <c r="O54" s="2687"/>
      <c r="P54" s="2686"/>
      <c r="Q54" s="2686"/>
      <c r="R54" s="2688"/>
    </row>
    <row r="55" spans="2:18" s="906" customFormat="1">
      <c r="B55" s="2686"/>
      <c r="C55" s="2686"/>
      <c r="D55" s="2686"/>
      <c r="E55" s="2686"/>
      <c r="F55" s="2686"/>
      <c r="G55" s="2687"/>
      <c r="H55" s="2686"/>
      <c r="I55" s="2687"/>
      <c r="J55" s="2686"/>
      <c r="K55" s="2686"/>
      <c r="L55" s="2687"/>
      <c r="M55" s="2686"/>
      <c r="N55" s="2686"/>
      <c r="O55" s="2687"/>
      <c r="P55" s="2686"/>
      <c r="Q55" s="2686"/>
      <c r="R55" s="2688"/>
    </row>
    <row r="56" spans="2:18" s="906" customFormat="1">
      <c r="B56" s="2686"/>
      <c r="C56" s="2686"/>
      <c r="D56" s="2686"/>
      <c r="E56" s="2686"/>
      <c r="F56" s="2686"/>
      <c r="G56" s="2687"/>
      <c r="H56" s="2686"/>
      <c r="I56" s="2687"/>
      <c r="J56" s="2686"/>
      <c r="K56" s="2686"/>
      <c r="L56" s="2687"/>
      <c r="M56" s="2686"/>
      <c r="N56" s="2686"/>
      <c r="O56" s="2687"/>
      <c r="P56" s="2686"/>
      <c r="Q56" s="2686"/>
      <c r="R56" s="2688"/>
    </row>
    <row r="57" spans="2:18" s="906" customFormat="1">
      <c r="B57" s="2686"/>
      <c r="C57" s="2686"/>
      <c r="D57" s="2686"/>
      <c r="E57" s="2686"/>
      <c r="F57" s="2686"/>
      <c r="G57" s="2687"/>
      <c r="H57" s="2686"/>
      <c r="I57" s="2687"/>
      <c r="J57" s="2686"/>
      <c r="K57" s="2686"/>
      <c r="L57" s="2687"/>
      <c r="M57" s="2686"/>
      <c r="N57" s="2686"/>
      <c r="O57" s="2687"/>
      <c r="P57" s="2686"/>
      <c r="Q57" s="2686"/>
      <c r="R57" s="2688"/>
    </row>
    <row r="58" spans="2:18" s="906" customFormat="1">
      <c r="B58" s="2686"/>
      <c r="C58" s="2686"/>
      <c r="D58" s="2686"/>
      <c r="E58" s="2686"/>
      <c r="F58" s="2686"/>
      <c r="G58" s="2687"/>
      <c r="H58" s="2686"/>
      <c r="I58" s="2687"/>
      <c r="J58" s="2686"/>
      <c r="K58" s="2686"/>
      <c r="L58" s="2687"/>
      <c r="M58" s="2686"/>
      <c r="N58" s="2686"/>
      <c r="O58" s="2687"/>
      <c r="P58" s="2686"/>
      <c r="Q58" s="2686"/>
      <c r="R58" s="2688"/>
    </row>
    <row r="59" spans="2:18" s="906" customFormat="1">
      <c r="B59" s="2686"/>
      <c r="C59" s="2686"/>
      <c r="D59" s="2686"/>
      <c r="E59" s="2686"/>
      <c r="F59" s="2686"/>
      <c r="G59" s="2687"/>
      <c r="H59" s="2686"/>
      <c r="I59" s="2687"/>
      <c r="J59" s="2686"/>
      <c r="K59" s="2686"/>
      <c r="L59" s="2687"/>
      <c r="M59" s="2686"/>
      <c r="N59" s="2686"/>
      <c r="O59" s="2687"/>
      <c r="P59" s="2686"/>
      <c r="Q59" s="2686"/>
      <c r="R59" s="2688"/>
    </row>
    <row r="60" spans="2:18" s="906" customFormat="1">
      <c r="B60" s="2686"/>
      <c r="C60" s="2686"/>
      <c r="D60" s="2686"/>
      <c r="E60" s="2686"/>
      <c r="F60" s="2686"/>
      <c r="G60" s="2687"/>
      <c r="H60" s="2686"/>
      <c r="I60" s="2687"/>
      <c r="J60" s="2686"/>
      <c r="K60" s="2686"/>
      <c r="L60" s="2687"/>
      <c r="M60" s="2686"/>
      <c r="N60" s="2686"/>
      <c r="O60" s="2687"/>
      <c r="P60" s="2686"/>
      <c r="Q60" s="2686"/>
      <c r="R60" s="2688"/>
    </row>
    <row r="61" spans="2:18" s="906" customFormat="1">
      <c r="B61" s="2686"/>
      <c r="C61" s="2686"/>
      <c r="D61" s="2686"/>
      <c r="E61" s="2686"/>
      <c r="F61" s="2686"/>
      <c r="G61" s="2687"/>
      <c r="H61" s="2686"/>
      <c r="I61" s="2687"/>
      <c r="J61" s="2686"/>
      <c r="K61" s="2686"/>
      <c r="L61" s="2687"/>
      <c r="M61" s="2686"/>
      <c r="N61" s="2686"/>
      <c r="O61" s="2687"/>
      <c r="P61" s="2686"/>
      <c r="Q61" s="2686"/>
      <c r="R61" s="2688"/>
    </row>
    <row r="62" spans="2:18" s="906" customFormat="1">
      <c r="B62" s="2686"/>
      <c r="C62" s="2686"/>
      <c r="D62" s="2686"/>
      <c r="E62" s="2686"/>
      <c r="F62" s="2686"/>
      <c r="G62" s="2687"/>
      <c r="H62" s="2686"/>
      <c r="I62" s="2687"/>
      <c r="J62" s="2686"/>
      <c r="K62" s="2686"/>
      <c r="L62" s="2687"/>
      <c r="M62" s="2686"/>
      <c r="N62" s="2686"/>
      <c r="O62" s="2687"/>
      <c r="P62" s="2686"/>
      <c r="Q62" s="2686"/>
      <c r="R62" s="2688"/>
    </row>
    <row r="63" spans="2:18" s="906" customFormat="1">
      <c r="B63" s="2686"/>
      <c r="C63" s="2686"/>
      <c r="D63" s="2686"/>
      <c r="E63" s="2686"/>
      <c r="F63" s="2686"/>
      <c r="G63" s="2687"/>
      <c r="H63" s="2686"/>
      <c r="I63" s="2687"/>
      <c r="J63" s="2686"/>
      <c r="K63" s="2686"/>
      <c r="L63" s="2687"/>
      <c r="M63" s="2686"/>
      <c r="N63" s="2686"/>
      <c r="O63" s="2687"/>
      <c r="P63" s="2686"/>
      <c r="Q63" s="2686"/>
      <c r="R63" s="2688"/>
    </row>
    <row r="64" spans="2:18" s="906" customFormat="1">
      <c r="B64" s="2686"/>
      <c r="C64" s="2686"/>
      <c r="D64" s="2686"/>
      <c r="E64" s="2686"/>
      <c r="F64" s="2686"/>
      <c r="G64" s="2687"/>
      <c r="H64" s="2686"/>
      <c r="I64" s="2687"/>
      <c r="J64" s="2686"/>
      <c r="K64" s="2686"/>
      <c r="L64" s="2687"/>
      <c r="M64" s="2686"/>
      <c r="N64" s="2686"/>
      <c r="O64" s="2687"/>
      <c r="P64" s="2686"/>
      <c r="Q64" s="2686"/>
      <c r="R64" s="2688"/>
    </row>
    <row r="65" spans="2:18" s="906" customFormat="1">
      <c r="B65" s="2686"/>
      <c r="C65" s="2686"/>
      <c r="D65" s="2686"/>
      <c r="E65" s="2686"/>
      <c r="F65" s="2686"/>
      <c r="G65" s="2687"/>
      <c r="H65" s="2686"/>
      <c r="I65" s="2687"/>
      <c r="J65" s="2686"/>
      <c r="K65" s="2686"/>
      <c r="L65" s="2687"/>
      <c r="M65" s="2686"/>
      <c r="N65" s="2686"/>
      <c r="O65" s="2687"/>
      <c r="P65" s="2686"/>
      <c r="Q65" s="2686"/>
      <c r="R65" s="2688"/>
    </row>
    <row r="66" spans="2:18" s="906" customFormat="1">
      <c r="B66" s="2686"/>
      <c r="C66" s="2686"/>
      <c r="D66" s="2686"/>
      <c r="E66" s="2686"/>
      <c r="F66" s="2686"/>
      <c r="G66" s="2687"/>
      <c r="H66" s="2686"/>
      <c r="I66" s="2687"/>
      <c r="J66" s="2686"/>
      <c r="K66" s="2686"/>
      <c r="L66" s="2687"/>
      <c r="M66" s="2686"/>
      <c r="N66" s="2686"/>
      <c r="O66" s="2687"/>
      <c r="P66" s="2686"/>
      <c r="Q66" s="2686"/>
      <c r="R66" s="2688"/>
    </row>
    <row r="67" spans="2:18" s="906" customFormat="1">
      <c r="B67" s="2686"/>
      <c r="C67" s="2686"/>
      <c r="D67" s="2686"/>
      <c r="E67" s="2686"/>
      <c r="F67" s="2686"/>
      <c r="G67" s="2687"/>
      <c r="H67" s="2686"/>
      <c r="I67" s="2687"/>
      <c r="J67" s="2686"/>
      <c r="K67" s="2686"/>
      <c r="L67" s="2687"/>
      <c r="M67" s="2686"/>
      <c r="N67" s="2686"/>
      <c r="O67" s="2687"/>
      <c r="P67" s="2686"/>
      <c r="Q67" s="2686"/>
      <c r="R67" s="2688"/>
    </row>
    <row r="68" spans="2:18" s="906" customFormat="1">
      <c r="B68" s="2686"/>
      <c r="C68" s="2686"/>
      <c r="D68" s="2686"/>
      <c r="E68" s="2686"/>
      <c r="F68" s="2686"/>
      <c r="G68" s="2687"/>
      <c r="H68" s="2686"/>
      <c r="I68" s="2687"/>
      <c r="J68" s="2686"/>
      <c r="K68" s="2686"/>
      <c r="L68" s="2687"/>
      <c r="M68" s="2686"/>
      <c r="N68" s="2686"/>
      <c r="O68" s="2687"/>
      <c r="P68" s="2686"/>
      <c r="Q68" s="2686"/>
      <c r="R68" s="2688"/>
    </row>
    <row r="69" spans="2:18" s="906" customFormat="1">
      <c r="B69" s="2686"/>
      <c r="C69" s="2686"/>
      <c r="D69" s="2686"/>
      <c r="E69" s="2686"/>
      <c r="F69" s="2686"/>
      <c r="G69" s="2687"/>
      <c r="H69" s="2686"/>
      <c r="I69" s="2687"/>
      <c r="J69" s="2686"/>
      <c r="K69" s="2686"/>
      <c r="L69" s="2687"/>
      <c r="M69" s="2686"/>
      <c r="N69" s="2686"/>
      <c r="O69" s="2687"/>
      <c r="P69" s="2686"/>
      <c r="Q69" s="2686"/>
      <c r="R69" s="2688"/>
    </row>
    <row r="70" spans="2:18" s="906" customFormat="1">
      <c r="B70" s="2686"/>
      <c r="C70" s="2686"/>
      <c r="D70" s="2686"/>
      <c r="E70" s="2686"/>
      <c r="F70" s="2686"/>
      <c r="G70" s="2687"/>
      <c r="H70" s="2686"/>
      <c r="I70" s="2687"/>
      <c r="J70" s="2686"/>
      <c r="K70" s="2686"/>
      <c r="L70" s="2687"/>
      <c r="M70" s="2686"/>
      <c r="N70" s="2686"/>
      <c r="O70" s="2687"/>
      <c r="P70" s="2686"/>
      <c r="Q70" s="2686"/>
      <c r="R70" s="2688"/>
    </row>
    <row r="71" spans="2:18" s="906" customFormat="1">
      <c r="B71" s="2686"/>
      <c r="C71" s="2686"/>
      <c r="D71" s="2686"/>
      <c r="E71" s="2686"/>
      <c r="F71" s="2686"/>
      <c r="G71" s="2687"/>
      <c r="H71" s="2686"/>
      <c r="I71" s="2687"/>
      <c r="J71" s="2686"/>
      <c r="K71" s="2686"/>
      <c r="L71" s="2687"/>
      <c r="M71" s="2686"/>
      <c r="N71" s="2686"/>
      <c r="O71" s="2687"/>
      <c r="P71" s="2686"/>
      <c r="Q71" s="2686"/>
      <c r="R71" s="2688"/>
    </row>
    <row r="72" spans="2:18" s="906" customFormat="1">
      <c r="B72" s="2686"/>
      <c r="C72" s="2686"/>
      <c r="D72" s="2686"/>
      <c r="E72" s="2686"/>
      <c r="F72" s="2686"/>
      <c r="G72" s="2687"/>
      <c r="H72" s="2686"/>
      <c r="I72" s="2687"/>
      <c r="J72" s="2686"/>
      <c r="K72" s="2686"/>
      <c r="L72" s="2687"/>
      <c r="M72" s="2686"/>
      <c r="N72" s="2686"/>
      <c r="O72" s="2687"/>
      <c r="P72" s="2686"/>
      <c r="Q72" s="2686"/>
      <c r="R72" s="2688"/>
    </row>
    <row r="73" spans="2:18" s="906" customFormat="1">
      <c r="B73" s="2686"/>
      <c r="C73" s="2686"/>
      <c r="D73" s="2686"/>
      <c r="E73" s="2686"/>
      <c r="F73" s="2686"/>
      <c r="G73" s="2687"/>
      <c r="H73" s="2686"/>
      <c r="I73" s="2687"/>
      <c r="J73" s="2686"/>
      <c r="K73" s="2686"/>
      <c r="L73" s="2687"/>
      <c r="M73" s="2686"/>
      <c r="N73" s="2686"/>
      <c r="O73" s="2687"/>
      <c r="P73" s="2686"/>
      <c r="Q73" s="2686"/>
      <c r="R73" s="2688"/>
    </row>
    <row r="74" spans="2:18" s="906" customFormat="1">
      <c r="B74" s="2686"/>
      <c r="C74" s="2686"/>
      <c r="D74" s="2686"/>
      <c r="E74" s="2686"/>
      <c r="F74" s="2686"/>
      <c r="G74" s="2687"/>
      <c r="H74" s="2686"/>
      <c r="I74" s="2687"/>
      <c r="J74" s="2686"/>
      <c r="K74" s="2686"/>
      <c r="L74" s="2687"/>
      <c r="M74" s="2686"/>
      <c r="N74" s="2686"/>
      <c r="O74" s="2687"/>
      <c r="P74" s="2686"/>
      <c r="Q74" s="2686"/>
      <c r="R74" s="2688"/>
    </row>
    <row r="75" spans="2:18" s="906" customFormat="1">
      <c r="B75" s="2686"/>
      <c r="C75" s="2686"/>
      <c r="D75" s="2686"/>
      <c r="E75" s="2686"/>
      <c r="F75" s="2686"/>
      <c r="G75" s="2687"/>
      <c r="H75" s="2686"/>
      <c r="I75" s="2687"/>
      <c r="J75" s="2686"/>
      <c r="K75" s="2686"/>
      <c r="L75" s="2687"/>
      <c r="M75" s="2686"/>
      <c r="N75" s="2686"/>
      <c r="O75" s="2687"/>
      <c r="P75" s="2686"/>
      <c r="Q75" s="2686"/>
      <c r="R75" s="2688"/>
    </row>
    <row r="76" spans="2:18" s="906" customFormat="1">
      <c r="B76" s="2686"/>
      <c r="C76" s="2686"/>
      <c r="D76" s="2686"/>
      <c r="E76" s="2686"/>
      <c r="F76" s="2686"/>
      <c r="G76" s="2687"/>
      <c r="H76" s="2686"/>
      <c r="I76" s="2687"/>
      <c r="J76" s="2686"/>
      <c r="K76" s="2686"/>
      <c r="L76" s="2687"/>
      <c r="M76" s="2686"/>
      <c r="N76" s="2686"/>
      <c r="O76" s="2687"/>
      <c r="P76" s="2686"/>
      <c r="Q76" s="2686"/>
      <c r="R76" s="2688"/>
    </row>
    <row r="77" spans="2:18" s="906" customFormat="1">
      <c r="B77" s="2686"/>
      <c r="C77" s="2686"/>
      <c r="D77" s="2686"/>
      <c r="E77" s="2686"/>
      <c r="F77" s="2686"/>
      <c r="G77" s="2687"/>
      <c r="H77" s="2686"/>
      <c r="I77" s="2687"/>
      <c r="J77" s="2686"/>
      <c r="K77" s="2686"/>
      <c r="L77" s="2687"/>
      <c r="M77" s="2686"/>
      <c r="N77" s="2686"/>
      <c r="O77" s="2687"/>
      <c r="P77" s="2686"/>
      <c r="Q77" s="2686"/>
      <c r="R77" s="2688"/>
    </row>
    <row r="78" spans="2:18" s="906" customFormat="1">
      <c r="B78" s="2686"/>
      <c r="C78" s="2686"/>
      <c r="D78" s="2686"/>
      <c r="E78" s="2686"/>
      <c r="F78" s="2686"/>
      <c r="G78" s="2687"/>
      <c r="H78" s="2686"/>
      <c r="I78" s="2687"/>
      <c r="J78" s="2686"/>
      <c r="K78" s="2686"/>
      <c r="L78" s="2687"/>
      <c r="M78" s="2686"/>
      <c r="N78" s="2686"/>
      <c r="O78" s="2687"/>
      <c r="P78" s="2686"/>
      <c r="Q78" s="2686"/>
      <c r="R78" s="2688"/>
    </row>
    <row r="79" spans="2:18" s="906" customFormat="1">
      <c r="B79" s="2686"/>
      <c r="C79" s="2686"/>
      <c r="D79" s="2686"/>
      <c r="E79" s="2686"/>
      <c r="F79" s="2686"/>
      <c r="G79" s="2687"/>
      <c r="H79" s="2686"/>
      <c r="I79" s="2687"/>
      <c r="J79" s="2686"/>
      <c r="K79" s="2686"/>
      <c r="L79" s="2687"/>
      <c r="M79" s="2686"/>
      <c r="N79" s="2686"/>
      <c r="O79" s="2687"/>
      <c r="P79" s="2686"/>
      <c r="Q79" s="2686"/>
      <c r="R79" s="2688"/>
    </row>
    <row r="80" spans="2:18" s="906" customFormat="1">
      <c r="B80" s="2686"/>
      <c r="C80" s="2686"/>
      <c r="D80" s="2686"/>
      <c r="E80" s="2686"/>
      <c r="F80" s="2686"/>
      <c r="G80" s="2687"/>
      <c r="H80" s="2686"/>
      <c r="I80" s="2687"/>
      <c r="J80" s="2686"/>
      <c r="K80" s="2686"/>
      <c r="L80" s="2687"/>
      <c r="M80" s="2686"/>
      <c r="N80" s="2686"/>
      <c r="O80" s="2687"/>
      <c r="P80" s="2686"/>
      <c r="Q80" s="2686"/>
      <c r="R80" s="2688"/>
    </row>
    <row r="81" spans="2:18" s="906" customFormat="1">
      <c r="B81" s="2686"/>
      <c r="C81" s="2686"/>
      <c r="D81" s="2686"/>
      <c r="E81" s="2686"/>
      <c r="F81" s="2686"/>
      <c r="G81" s="2687"/>
      <c r="H81" s="2686"/>
      <c r="I81" s="2687"/>
      <c r="J81" s="2686"/>
      <c r="K81" s="2686"/>
      <c r="L81" s="2687"/>
      <c r="M81" s="2686"/>
      <c r="N81" s="2686"/>
      <c r="O81" s="2687"/>
      <c r="P81" s="2686"/>
      <c r="Q81" s="2686"/>
      <c r="R81" s="2688"/>
    </row>
    <row r="82" spans="2:18" s="906" customFormat="1">
      <c r="B82" s="2686"/>
      <c r="C82" s="2686"/>
      <c r="D82" s="2686"/>
      <c r="E82" s="2686"/>
      <c r="F82" s="2686"/>
      <c r="G82" s="2687"/>
      <c r="H82" s="2686"/>
      <c r="I82" s="2687"/>
      <c r="J82" s="2686"/>
      <c r="K82" s="2686"/>
      <c r="L82" s="2687"/>
      <c r="M82" s="2686"/>
      <c r="N82" s="2686"/>
      <c r="O82" s="2687"/>
      <c r="P82" s="2686"/>
      <c r="Q82" s="2686"/>
      <c r="R82" s="2688"/>
    </row>
    <row r="83" spans="2:18" s="906" customFormat="1">
      <c r="B83" s="2686"/>
      <c r="C83" s="2686"/>
      <c r="D83" s="2686"/>
      <c r="E83" s="2686"/>
      <c r="F83" s="2686"/>
      <c r="G83" s="2687"/>
      <c r="H83" s="2686"/>
      <c r="I83" s="2687"/>
      <c r="J83" s="2686"/>
      <c r="K83" s="2686"/>
      <c r="L83" s="2687"/>
      <c r="M83" s="2686"/>
      <c r="N83" s="2686"/>
      <c r="O83" s="2687"/>
      <c r="P83" s="2686"/>
      <c r="Q83" s="2686"/>
      <c r="R83" s="2688"/>
    </row>
    <row r="84" spans="2:18" s="906" customFormat="1">
      <c r="B84" s="2686"/>
      <c r="C84" s="2686"/>
      <c r="D84" s="2686"/>
      <c r="E84" s="2686"/>
      <c r="F84" s="2686"/>
      <c r="G84" s="2687"/>
      <c r="H84" s="2686"/>
      <c r="I84" s="2687"/>
      <c r="J84" s="2686"/>
      <c r="K84" s="2686"/>
      <c r="L84" s="2687"/>
      <c r="M84" s="2686"/>
      <c r="N84" s="2686"/>
      <c r="O84" s="2687"/>
      <c r="P84" s="2686"/>
      <c r="Q84" s="2686"/>
      <c r="R84" s="2688"/>
    </row>
    <row r="85" spans="2:18" s="906" customFormat="1">
      <c r="B85" s="2686"/>
      <c r="C85" s="2686"/>
      <c r="D85" s="2686"/>
      <c r="E85" s="2686"/>
      <c r="F85" s="2686"/>
      <c r="G85" s="2687"/>
      <c r="H85" s="2686"/>
      <c r="I85" s="2687"/>
      <c r="J85" s="2686"/>
      <c r="K85" s="2686"/>
      <c r="L85" s="2687"/>
      <c r="M85" s="2686"/>
      <c r="N85" s="2686"/>
      <c r="O85" s="2687"/>
      <c r="P85" s="2686"/>
      <c r="Q85" s="2686"/>
      <c r="R85" s="2688"/>
    </row>
    <row r="86" spans="2:18" s="906" customFormat="1">
      <c r="B86" s="2686"/>
      <c r="C86" s="2686"/>
      <c r="D86" s="2686"/>
      <c r="E86" s="2686"/>
      <c r="F86" s="2686"/>
      <c r="G86" s="2687"/>
      <c r="H86" s="2686"/>
      <c r="I86" s="2687"/>
      <c r="J86" s="2686"/>
      <c r="K86" s="2686"/>
      <c r="L86" s="2687"/>
      <c r="M86" s="2686"/>
      <c r="N86" s="2686"/>
      <c r="O86" s="2687"/>
      <c r="P86" s="2686"/>
      <c r="Q86" s="2686"/>
      <c r="R86" s="2688"/>
    </row>
    <row r="87" spans="2:18" s="906" customFormat="1">
      <c r="B87" s="2686"/>
      <c r="C87" s="2686"/>
      <c r="D87" s="2686"/>
      <c r="E87" s="2686"/>
      <c r="F87" s="2686"/>
      <c r="G87" s="2687"/>
      <c r="H87" s="2686"/>
      <c r="I87" s="2687"/>
      <c r="J87" s="2686"/>
      <c r="K87" s="2686"/>
      <c r="L87" s="2687"/>
      <c r="M87" s="2686"/>
      <c r="N87" s="2686"/>
      <c r="O87" s="2687"/>
      <c r="P87" s="2686"/>
      <c r="Q87" s="2686"/>
      <c r="R87" s="2688"/>
    </row>
    <row r="88" spans="2:18" s="906" customFormat="1">
      <c r="B88" s="2686"/>
      <c r="C88" s="2686"/>
      <c r="D88" s="2686"/>
      <c r="E88" s="2686"/>
      <c r="F88" s="2686"/>
      <c r="G88" s="2687"/>
      <c r="H88" s="2686"/>
      <c r="I88" s="2687"/>
      <c r="J88" s="2686"/>
      <c r="K88" s="2686"/>
      <c r="L88" s="2687"/>
      <c r="M88" s="2686"/>
      <c r="N88" s="2686"/>
      <c r="O88" s="2687"/>
      <c r="P88" s="2686"/>
      <c r="Q88" s="2686"/>
      <c r="R88" s="2688"/>
    </row>
    <row r="89" spans="2:18" s="906" customFormat="1">
      <c r="B89" s="2686"/>
      <c r="C89" s="2686"/>
      <c r="D89" s="2686"/>
      <c r="E89" s="2686"/>
      <c r="F89" s="2686"/>
      <c r="G89" s="2687"/>
      <c r="H89" s="2686"/>
      <c r="I89" s="2687"/>
      <c r="J89" s="2686"/>
      <c r="K89" s="2686"/>
      <c r="L89" s="2687"/>
      <c r="M89" s="2686"/>
      <c r="N89" s="2686"/>
      <c r="O89" s="2687"/>
      <c r="P89" s="2686"/>
      <c r="Q89" s="2686"/>
      <c r="R89" s="2688"/>
    </row>
    <row r="90" spans="2:18" s="906" customFormat="1">
      <c r="B90" s="2686"/>
      <c r="C90" s="2686"/>
      <c r="D90" s="2686"/>
      <c r="E90" s="2686"/>
      <c r="F90" s="2686"/>
      <c r="G90" s="2687"/>
      <c r="H90" s="2686"/>
      <c r="I90" s="2687"/>
      <c r="J90" s="2686"/>
      <c r="K90" s="2686"/>
      <c r="L90" s="2687"/>
      <c r="M90" s="2686"/>
      <c r="N90" s="2686"/>
      <c r="O90" s="2687"/>
      <c r="P90" s="2686"/>
      <c r="Q90" s="2686"/>
      <c r="R90" s="2688"/>
    </row>
    <row r="91" spans="2:18" s="906" customFormat="1">
      <c r="B91" s="2686"/>
      <c r="C91" s="2686"/>
      <c r="D91" s="2686"/>
      <c r="E91" s="2686"/>
      <c r="F91" s="2686"/>
      <c r="G91" s="2687"/>
      <c r="H91" s="2686"/>
      <c r="I91" s="2687"/>
      <c r="J91" s="2686"/>
      <c r="K91" s="2686"/>
      <c r="L91" s="2687"/>
      <c r="M91" s="2686"/>
      <c r="N91" s="2686"/>
      <c r="O91" s="2687"/>
      <c r="P91" s="2686"/>
      <c r="Q91" s="2686"/>
      <c r="R91" s="2688"/>
    </row>
    <row r="92" spans="2:18" s="906" customFormat="1">
      <c r="B92" s="2686"/>
      <c r="C92" s="2686"/>
      <c r="D92" s="2686"/>
      <c r="E92" s="2686"/>
      <c r="F92" s="2686"/>
      <c r="G92" s="2687"/>
      <c r="H92" s="2686"/>
      <c r="I92" s="2687"/>
      <c r="J92" s="2686"/>
      <c r="K92" s="2686"/>
      <c r="L92" s="2687"/>
      <c r="M92" s="2686"/>
      <c r="N92" s="2686"/>
      <c r="O92" s="2687"/>
      <c r="P92" s="2686"/>
      <c r="Q92" s="2686"/>
      <c r="R92" s="2688"/>
    </row>
    <row r="93" spans="2:18" s="906" customFormat="1">
      <c r="B93" s="2686"/>
      <c r="C93" s="2686"/>
      <c r="D93" s="2686"/>
      <c r="E93" s="2686"/>
      <c r="F93" s="2686"/>
      <c r="G93" s="2687"/>
      <c r="H93" s="2686"/>
      <c r="I93" s="2687"/>
      <c r="J93" s="2686"/>
      <c r="K93" s="2686"/>
      <c r="L93" s="2687"/>
      <c r="M93" s="2686"/>
      <c r="N93" s="2686"/>
      <c r="O93" s="2687"/>
      <c r="P93" s="2686"/>
      <c r="Q93" s="2686"/>
      <c r="R93" s="2688"/>
    </row>
    <row r="94" spans="2:18" s="906" customFormat="1">
      <c r="B94" s="2686"/>
      <c r="C94" s="2686"/>
      <c r="D94" s="2686"/>
      <c r="E94" s="2686"/>
      <c r="F94" s="2686"/>
      <c r="G94" s="2687"/>
      <c r="H94" s="2686"/>
      <c r="I94" s="2687"/>
      <c r="J94" s="2686"/>
      <c r="K94" s="2686"/>
      <c r="L94" s="2687"/>
      <c r="M94" s="2686"/>
      <c r="N94" s="2686"/>
      <c r="O94" s="2687"/>
      <c r="P94" s="2686"/>
      <c r="Q94" s="2686"/>
      <c r="R94" s="2688"/>
    </row>
    <row r="95" spans="2:18" s="906" customFormat="1">
      <c r="B95" s="2686"/>
      <c r="C95" s="2686"/>
      <c r="D95" s="2686"/>
      <c r="E95" s="2686"/>
      <c r="F95" s="2686"/>
      <c r="G95" s="2687"/>
      <c r="H95" s="2686"/>
      <c r="I95" s="2687"/>
      <c r="J95" s="2686"/>
      <c r="K95" s="2686"/>
      <c r="L95" s="2687"/>
      <c r="M95" s="2686"/>
      <c r="N95" s="2686"/>
      <c r="O95" s="2687"/>
      <c r="P95" s="2686"/>
      <c r="Q95" s="2686"/>
      <c r="R95" s="2688"/>
    </row>
    <row r="96" spans="2:18" s="906" customFormat="1">
      <c r="B96" s="2686"/>
      <c r="C96" s="2686"/>
      <c r="D96" s="2686"/>
      <c r="E96" s="2686"/>
      <c r="F96" s="2686"/>
      <c r="G96" s="2687"/>
      <c r="H96" s="2686"/>
      <c r="I96" s="2687"/>
      <c r="J96" s="2686"/>
      <c r="K96" s="2686"/>
      <c r="L96" s="2687"/>
      <c r="M96" s="2686"/>
      <c r="N96" s="2686"/>
      <c r="O96" s="2687"/>
      <c r="P96" s="2686"/>
      <c r="Q96" s="2686"/>
      <c r="R96" s="2688"/>
    </row>
    <row r="97" spans="2:18" s="906" customFormat="1">
      <c r="B97" s="2686"/>
      <c r="C97" s="2686"/>
      <c r="D97" s="2686"/>
      <c r="E97" s="2686"/>
      <c r="F97" s="2686"/>
      <c r="G97" s="2687"/>
      <c r="H97" s="2686"/>
      <c r="I97" s="2687"/>
      <c r="J97" s="2686"/>
      <c r="K97" s="2686"/>
      <c r="L97" s="2687"/>
      <c r="M97" s="2686"/>
      <c r="N97" s="2686"/>
      <c r="O97" s="2687"/>
      <c r="P97" s="2686"/>
      <c r="Q97" s="2686"/>
      <c r="R97" s="2688"/>
    </row>
    <row r="98" spans="2:18" s="906" customFormat="1">
      <c r="B98" s="2686"/>
      <c r="C98" s="2686"/>
      <c r="D98" s="2686"/>
      <c r="E98" s="2686"/>
      <c r="F98" s="2686"/>
      <c r="G98" s="2687"/>
      <c r="H98" s="2686"/>
      <c r="I98" s="2687"/>
      <c r="J98" s="2686"/>
      <c r="K98" s="2686"/>
      <c r="L98" s="2687"/>
      <c r="M98" s="2686"/>
      <c r="N98" s="2686"/>
      <c r="O98" s="2687"/>
      <c r="P98" s="2686"/>
      <c r="Q98" s="2686"/>
      <c r="R98" s="2688"/>
    </row>
    <row r="99" spans="2:18" s="906" customFormat="1">
      <c r="B99" s="2686"/>
      <c r="C99" s="2686"/>
      <c r="D99" s="2686"/>
      <c r="E99" s="2686"/>
      <c r="F99" s="2686"/>
      <c r="G99" s="2687"/>
      <c r="H99" s="2686"/>
      <c r="I99" s="2687"/>
      <c r="J99" s="2686"/>
      <c r="K99" s="2686"/>
      <c r="L99" s="2687"/>
      <c r="M99" s="2686"/>
      <c r="N99" s="2686"/>
      <c r="O99" s="2687"/>
      <c r="P99" s="2686"/>
      <c r="Q99" s="2686"/>
      <c r="R99" s="2688"/>
    </row>
    <row r="100" spans="2:18" s="906" customFormat="1">
      <c r="B100" s="2686"/>
      <c r="C100" s="2686"/>
      <c r="D100" s="2686"/>
      <c r="E100" s="2686"/>
      <c r="F100" s="2686"/>
      <c r="G100" s="2687"/>
      <c r="H100" s="2686"/>
      <c r="I100" s="2687"/>
      <c r="J100" s="2686"/>
      <c r="K100" s="2686"/>
      <c r="L100" s="2687"/>
      <c r="M100" s="2686"/>
      <c r="N100" s="2686"/>
      <c r="O100" s="2687"/>
      <c r="P100" s="2686"/>
      <c r="Q100" s="2686"/>
      <c r="R100" s="2688"/>
    </row>
    <row r="101" spans="2:18" s="906" customFormat="1">
      <c r="B101" s="2686"/>
      <c r="C101" s="2686"/>
      <c r="D101" s="2686"/>
      <c r="E101" s="2686"/>
      <c r="F101" s="2686"/>
      <c r="G101" s="2687"/>
      <c r="H101" s="2686"/>
      <c r="I101" s="2687"/>
      <c r="J101" s="2686"/>
      <c r="K101" s="2686"/>
      <c r="L101" s="2687"/>
      <c r="M101" s="2686"/>
      <c r="N101" s="2686"/>
      <c r="O101" s="2687"/>
      <c r="P101" s="2686"/>
      <c r="Q101" s="2686"/>
      <c r="R101" s="2688"/>
    </row>
    <row r="102" spans="2:18" s="906" customFormat="1">
      <c r="B102" s="2686"/>
      <c r="C102" s="2686"/>
      <c r="D102" s="2686"/>
      <c r="E102" s="2686"/>
      <c r="F102" s="2686"/>
      <c r="G102" s="2687"/>
      <c r="H102" s="2686"/>
      <c r="I102" s="2687"/>
      <c r="J102" s="2686"/>
      <c r="K102" s="2686"/>
      <c r="L102" s="2687"/>
      <c r="M102" s="2686"/>
      <c r="N102" s="2686"/>
      <c r="O102" s="2687"/>
      <c r="P102" s="2686"/>
      <c r="Q102" s="2686"/>
      <c r="R102" s="2688"/>
    </row>
    <row r="103" spans="2:18" s="906" customFormat="1">
      <c r="B103" s="2686"/>
      <c r="C103" s="2686"/>
      <c r="D103" s="2686"/>
      <c r="E103" s="2686"/>
      <c r="F103" s="2686"/>
      <c r="G103" s="2687"/>
      <c r="H103" s="2686"/>
      <c r="I103" s="2687"/>
      <c r="J103" s="2686"/>
      <c r="K103" s="2686"/>
      <c r="L103" s="2687"/>
      <c r="M103" s="2686"/>
      <c r="N103" s="2686"/>
      <c r="O103" s="2687"/>
      <c r="P103" s="2686"/>
      <c r="Q103" s="2686"/>
      <c r="R103" s="2688"/>
    </row>
    <row r="104" spans="2:18" s="906" customFormat="1">
      <c r="B104" s="2686"/>
      <c r="C104" s="2686"/>
      <c r="D104" s="2686"/>
      <c r="E104" s="2686"/>
      <c r="F104" s="2686"/>
      <c r="G104" s="2687"/>
      <c r="H104" s="2686"/>
      <c r="I104" s="2687"/>
      <c r="J104" s="2686"/>
      <c r="K104" s="2686"/>
      <c r="L104" s="2687"/>
      <c r="M104" s="2686"/>
      <c r="N104" s="2686"/>
      <c r="O104" s="2687"/>
      <c r="P104" s="2686"/>
      <c r="Q104" s="2686"/>
      <c r="R104" s="2688"/>
    </row>
    <row r="105" spans="2:18" s="906" customFormat="1">
      <c r="B105" s="2686"/>
      <c r="C105" s="2686"/>
      <c r="D105" s="2686"/>
      <c r="E105" s="2686"/>
      <c r="F105" s="2686"/>
      <c r="G105" s="2687"/>
      <c r="H105" s="2686"/>
      <c r="I105" s="2687"/>
      <c r="J105" s="2686"/>
      <c r="K105" s="2686"/>
      <c r="L105" s="2687"/>
      <c r="M105" s="2686"/>
      <c r="N105" s="2686"/>
      <c r="O105" s="2687"/>
      <c r="P105" s="2686"/>
      <c r="Q105" s="2686"/>
      <c r="R105" s="2688"/>
    </row>
    <row r="106" spans="2:18" s="906" customFormat="1">
      <c r="B106" s="2686"/>
      <c r="C106" s="2686"/>
      <c r="D106" s="2686"/>
      <c r="E106" s="2686"/>
      <c r="F106" s="2686"/>
      <c r="G106" s="2687"/>
      <c r="H106" s="2686"/>
      <c r="I106" s="2687"/>
      <c r="J106" s="2686"/>
      <c r="K106" s="2686"/>
      <c r="L106" s="2687"/>
      <c r="M106" s="2686"/>
      <c r="N106" s="2686"/>
      <c r="O106" s="2687"/>
      <c r="P106" s="2686"/>
      <c r="Q106" s="2686"/>
      <c r="R106" s="2688"/>
    </row>
    <row r="107" spans="2:18" s="906" customFormat="1">
      <c r="B107" s="2686"/>
      <c r="C107" s="2686"/>
      <c r="D107" s="2686"/>
      <c r="E107" s="2686"/>
      <c r="F107" s="2686"/>
      <c r="G107" s="2687"/>
      <c r="H107" s="2686"/>
      <c r="I107" s="2687"/>
      <c r="J107" s="2686"/>
      <c r="K107" s="2686"/>
      <c r="L107" s="2687"/>
      <c r="M107" s="2686"/>
      <c r="N107" s="2686"/>
      <c r="O107" s="2687"/>
      <c r="P107" s="2686"/>
      <c r="Q107" s="2686"/>
      <c r="R107" s="2688"/>
    </row>
    <row r="108" spans="2:18" s="906" customFormat="1">
      <c r="B108" s="2686"/>
      <c r="C108" s="2686"/>
      <c r="D108" s="2686"/>
      <c r="E108" s="2686"/>
      <c r="F108" s="2686"/>
      <c r="G108" s="2687"/>
      <c r="H108" s="2686"/>
      <c r="I108" s="2687"/>
      <c r="J108" s="2686"/>
      <c r="K108" s="2686"/>
      <c r="L108" s="2687"/>
      <c r="M108" s="2686"/>
      <c r="N108" s="2686"/>
      <c r="O108" s="2687"/>
      <c r="P108" s="2686"/>
      <c r="Q108" s="2686"/>
      <c r="R108" s="2688"/>
    </row>
    <row r="109" spans="2:18" s="906" customFormat="1">
      <c r="B109" s="2686"/>
      <c r="C109" s="2686"/>
      <c r="D109" s="2686"/>
      <c r="E109" s="2686"/>
      <c r="F109" s="2686"/>
      <c r="G109" s="2687"/>
      <c r="H109" s="2686"/>
      <c r="I109" s="2687"/>
      <c r="J109" s="2686"/>
      <c r="K109" s="2686"/>
      <c r="L109" s="2687"/>
      <c r="M109" s="2686"/>
      <c r="N109" s="2686"/>
      <c r="O109" s="2687"/>
      <c r="P109" s="2686"/>
      <c r="Q109" s="2686"/>
      <c r="R109" s="2688"/>
    </row>
    <row r="110" spans="2:18" s="906" customFormat="1">
      <c r="B110" s="2686"/>
      <c r="C110" s="2686"/>
      <c r="D110" s="2686"/>
      <c r="E110" s="2686"/>
      <c r="F110" s="2686"/>
      <c r="G110" s="2687"/>
      <c r="H110" s="2686"/>
      <c r="I110" s="2687"/>
      <c r="J110" s="2686"/>
      <c r="K110" s="2686"/>
      <c r="L110" s="2687"/>
      <c r="M110" s="2686"/>
      <c r="N110" s="2686"/>
      <c r="O110" s="2687"/>
      <c r="P110" s="2686"/>
      <c r="Q110" s="2686"/>
      <c r="R110" s="2688"/>
    </row>
    <row r="111" spans="2:18" s="906" customFormat="1">
      <c r="B111" s="2686"/>
      <c r="C111" s="2686"/>
      <c r="D111" s="2686"/>
      <c r="E111" s="2686"/>
      <c r="F111" s="2686"/>
      <c r="G111" s="2687"/>
      <c r="H111" s="2686"/>
      <c r="I111" s="2687"/>
      <c r="J111" s="2686"/>
      <c r="K111" s="2686"/>
      <c r="L111" s="2687"/>
      <c r="M111" s="2686"/>
      <c r="N111" s="2686"/>
      <c r="O111" s="2687"/>
      <c r="P111" s="2686"/>
      <c r="Q111" s="2686"/>
      <c r="R111" s="2688"/>
    </row>
    <row r="112" spans="2:18" s="906" customFormat="1">
      <c r="B112" s="2686"/>
      <c r="C112" s="2686"/>
      <c r="D112" s="2686"/>
      <c r="E112" s="2686"/>
      <c r="F112" s="2686"/>
      <c r="G112" s="2687"/>
      <c r="H112" s="2686"/>
      <c r="I112" s="2687"/>
      <c r="J112" s="2686"/>
      <c r="K112" s="2686"/>
      <c r="L112" s="2687"/>
      <c r="M112" s="2686"/>
      <c r="N112" s="2686"/>
      <c r="O112" s="2687"/>
      <c r="P112" s="2686"/>
      <c r="Q112" s="2686"/>
      <c r="R112" s="2688"/>
    </row>
    <row r="113" spans="2:18" s="906" customFormat="1">
      <c r="B113" s="2686"/>
      <c r="C113" s="2686"/>
      <c r="D113" s="2686"/>
      <c r="E113" s="2686"/>
      <c r="F113" s="2686"/>
      <c r="G113" s="2687"/>
      <c r="H113" s="2686"/>
      <c r="I113" s="2687"/>
      <c r="J113" s="2686"/>
      <c r="K113" s="2686"/>
      <c r="L113" s="2687"/>
      <c r="M113" s="2686"/>
      <c r="N113" s="2686"/>
      <c r="O113" s="2687"/>
      <c r="P113" s="2686"/>
      <c r="Q113" s="2686"/>
      <c r="R113" s="2688"/>
    </row>
    <row r="114" spans="2:18" s="906" customFormat="1">
      <c r="B114" s="2686"/>
      <c r="C114" s="2686"/>
      <c r="D114" s="2686"/>
      <c r="E114" s="2686"/>
      <c r="F114" s="2686"/>
      <c r="G114" s="2687"/>
      <c r="H114" s="2686"/>
      <c r="I114" s="2687"/>
      <c r="J114" s="2686"/>
      <c r="K114" s="2686"/>
      <c r="L114" s="2687"/>
      <c r="M114" s="2686"/>
      <c r="N114" s="2686"/>
      <c r="O114" s="2687"/>
      <c r="P114" s="2686"/>
      <c r="Q114" s="2686"/>
      <c r="R114" s="2688"/>
    </row>
    <row r="115" spans="2:18" s="906" customFormat="1">
      <c r="B115" s="2686"/>
      <c r="C115" s="2686"/>
      <c r="D115" s="2686"/>
      <c r="E115" s="2686"/>
      <c r="F115" s="2686"/>
      <c r="G115" s="2687"/>
      <c r="H115" s="2686"/>
      <c r="I115" s="2687"/>
      <c r="J115" s="2686"/>
      <c r="K115" s="2686"/>
      <c r="L115" s="2687"/>
      <c r="M115" s="2686"/>
      <c r="N115" s="2686"/>
      <c r="O115" s="2687"/>
      <c r="P115" s="2686"/>
      <c r="Q115" s="2686"/>
      <c r="R115" s="2688"/>
    </row>
    <row r="116" spans="2:18" s="906" customFormat="1">
      <c r="B116" s="2686"/>
      <c r="C116" s="2686"/>
      <c r="D116" s="2686"/>
      <c r="E116" s="2686"/>
      <c r="F116" s="2686"/>
      <c r="G116" s="2687"/>
      <c r="H116" s="2686"/>
      <c r="I116" s="2687"/>
      <c r="J116" s="2686"/>
      <c r="K116" s="2686"/>
      <c r="L116" s="2687"/>
      <c r="M116" s="2686"/>
      <c r="N116" s="2686"/>
      <c r="O116" s="2687"/>
      <c r="P116" s="2686"/>
      <c r="Q116" s="2686"/>
      <c r="R116" s="2688"/>
    </row>
    <row r="117" spans="2:18" s="906" customFormat="1">
      <c r="B117" s="2686"/>
      <c r="C117" s="2686"/>
      <c r="D117" s="2686"/>
      <c r="E117" s="2686"/>
      <c r="F117" s="2686"/>
      <c r="G117" s="2687"/>
      <c r="H117" s="2686"/>
      <c r="I117" s="2687"/>
      <c r="J117" s="2686"/>
      <c r="K117" s="2686"/>
      <c r="L117" s="2687"/>
      <c r="M117" s="2686"/>
      <c r="N117" s="2686"/>
      <c r="O117" s="2687"/>
      <c r="P117" s="2686"/>
      <c r="Q117" s="2686"/>
      <c r="R117" s="2688"/>
    </row>
    <row r="118" spans="2:18" s="906" customFormat="1">
      <c r="B118" s="2686"/>
      <c r="C118" s="2686"/>
      <c r="D118" s="2686"/>
      <c r="E118" s="2686"/>
      <c r="F118" s="2686"/>
      <c r="G118" s="2687"/>
      <c r="H118" s="2686"/>
      <c r="I118" s="2687"/>
      <c r="J118" s="2686"/>
      <c r="K118" s="2686"/>
      <c r="L118" s="2687"/>
      <c r="M118" s="2686"/>
      <c r="N118" s="2686"/>
      <c r="O118" s="2687"/>
      <c r="P118" s="2686"/>
      <c r="Q118" s="2686"/>
      <c r="R118" s="2688"/>
    </row>
    <row r="119" spans="2:18" s="906" customFormat="1">
      <c r="B119" s="2686"/>
      <c r="C119" s="2686"/>
      <c r="D119" s="2686"/>
      <c r="E119" s="2686"/>
      <c r="F119" s="2686"/>
      <c r="G119" s="2687"/>
      <c r="H119" s="2686"/>
      <c r="I119" s="2687"/>
      <c r="J119" s="2686"/>
      <c r="K119" s="2686"/>
      <c r="L119" s="2687"/>
      <c r="M119" s="2686"/>
      <c r="N119" s="2686"/>
      <c r="O119" s="2687"/>
      <c r="P119" s="2686"/>
      <c r="Q119" s="2686"/>
      <c r="R119" s="2688"/>
    </row>
    <row r="120" spans="2:18" s="906" customFormat="1">
      <c r="B120" s="2686"/>
      <c r="C120" s="2686"/>
      <c r="D120" s="2686"/>
      <c r="E120" s="2686"/>
      <c r="F120" s="2686"/>
      <c r="G120" s="2687"/>
      <c r="H120" s="2686"/>
      <c r="I120" s="2687"/>
      <c r="J120" s="2686"/>
      <c r="K120" s="2686"/>
      <c r="L120" s="2687"/>
      <c r="M120" s="2686"/>
      <c r="N120" s="2686"/>
      <c r="O120" s="2687"/>
      <c r="P120" s="2686"/>
      <c r="Q120" s="2686"/>
      <c r="R120" s="2688"/>
    </row>
    <row r="121" spans="2:18" s="906" customFormat="1">
      <c r="B121" s="2686"/>
      <c r="C121" s="2686"/>
      <c r="D121" s="2686"/>
      <c r="E121" s="2686"/>
      <c r="F121" s="2686"/>
      <c r="G121" s="2687"/>
      <c r="H121" s="2686"/>
      <c r="I121" s="2687"/>
      <c r="J121" s="2686"/>
      <c r="K121" s="2686"/>
      <c r="L121" s="2687"/>
      <c r="M121" s="2686"/>
      <c r="N121" s="2686"/>
      <c r="O121" s="2687"/>
      <c r="P121" s="2686"/>
      <c r="Q121" s="2686"/>
      <c r="R121" s="2688"/>
    </row>
    <row r="122" spans="2:18" s="906" customFormat="1">
      <c r="B122" s="2686"/>
      <c r="C122" s="2686"/>
      <c r="D122" s="2686"/>
      <c r="E122" s="2686"/>
      <c r="F122" s="2686"/>
      <c r="G122" s="2687"/>
      <c r="H122" s="2686"/>
      <c r="I122" s="2687"/>
      <c r="J122" s="2686"/>
      <c r="K122" s="2686"/>
      <c r="L122" s="2687"/>
      <c r="M122" s="2686"/>
      <c r="N122" s="2686"/>
      <c r="O122" s="2687"/>
      <c r="P122" s="2686"/>
      <c r="Q122" s="2686"/>
      <c r="R122" s="2688"/>
    </row>
    <row r="123" spans="2:18" s="906" customFormat="1">
      <c r="B123" s="2686"/>
      <c r="C123" s="2686"/>
      <c r="D123" s="2686"/>
      <c r="E123" s="2686"/>
      <c r="F123" s="2686"/>
      <c r="G123" s="2687"/>
      <c r="H123" s="2686"/>
      <c r="I123" s="2687"/>
      <c r="J123" s="2686"/>
      <c r="K123" s="2686"/>
      <c r="L123" s="2687"/>
      <c r="M123" s="2686"/>
      <c r="N123" s="2686"/>
      <c r="O123" s="2687"/>
      <c r="P123" s="2686"/>
      <c r="Q123" s="2686"/>
      <c r="R123" s="2688"/>
    </row>
    <row r="124" spans="2:18" s="906" customFormat="1">
      <c r="B124" s="2686"/>
      <c r="C124" s="2686"/>
      <c r="D124" s="2686"/>
      <c r="E124" s="2686"/>
      <c r="F124" s="2686"/>
      <c r="G124" s="2687"/>
      <c r="H124" s="2686"/>
      <c r="I124" s="2687"/>
      <c r="J124" s="2686"/>
      <c r="K124" s="2686"/>
      <c r="L124" s="2687"/>
      <c r="M124" s="2686"/>
      <c r="N124" s="2686"/>
      <c r="O124" s="2687"/>
      <c r="P124" s="2686"/>
      <c r="Q124" s="2686"/>
      <c r="R124" s="2688"/>
    </row>
    <row r="125" spans="2:18" s="906" customFormat="1">
      <c r="B125" s="2686"/>
      <c r="C125" s="2686"/>
      <c r="D125" s="2686"/>
      <c r="E125" s="2686"/>
      <c r="F125" s="2686"/>
      <c r="G125" s="2687"/>
      <c r="H125" s="2686"/>
      <c r="I125" s="2687"/>
      <c r="J125" s="2686"/>
      <c r="K125" s="2686"/>
      <c r="L125" s="2687"/>
      <c r="M125" s="2686"/>
      <c r="N125" s="2686"/>
      <c r="O125" s="2687"/>
      <c r="P125" s="2686"/>
      <c r="Q125" s="2686"/>
      <c r="R125" s="2688"/>
    </row>
    <row r="126" spans="2:18" s="906" customFormat="1">
      <c r="B126" s="2686"/>
      <c r="C126" s="2686"/>
      <c r="D126" s="2686"/>
      <c r="E126" s="2686"/>
      <c r="F126" s="2686"/>
      <c r="G126" s="2687"/>
      <c r="H126" s="2686"/>
      <c r="I126" s="2687"/>
      <c r="J126" s="2686"/>
      <c r="K126" s="2686"/>
      <c r="L126" s="2687"/>
      <c r="M126" s="2686"/>
      <c r="N126" s="2686"/>
      <c r="O126" s="2687"/>
      <c r="P126" s="2686"/>
      <c r="Q126" s="2686"/>
      <c r="R126" s="2688"/>
    </row>
    <row r="127" spans="2:18" s="906" customFormat="1">
      <c r="B127" s="2686"/>
      <c r="C127" s="2686"/>
      <c r="D127" s="2686"/>
      <c r="E127" s="2686"/>
      <c r="F127" s="2686"/>
      <c r="G127" s="2687"/>
      <c r="H127" s="2686"/>
      <c r="I127" s="2687"/>
      <c r="J127" s="2686"/>
      <c r="K127" s="2686"/>
      <c r="L127" s="2687"/>
      <c r="M127" s="2686"/>
      <c r="N127" s="2686"/>
      <c r="O127" s="2687"/>
      <c r="P127" s="2686"/>
      <c r="Q127" s="2686"/>
      <c r="R127" s="2688"/>
    </row>
    <row r="128" spans="2:18" s="906" customFormat="1">
      <c r="B128" s="2686"/>
      <c r="C128" s="2686"/>
      <c r="D128" s="2686"/>
      <c r="E128" s="2686"/>
      <c r="F128" s="2686"/>
      <c r="G128" s="2687"/>
      <c r="H128" s="2686"/>
      <c r="I128" s="2687"/>
      <c r="J128" s="2686"/>
      <c r="K128" s="2686"/>
      <c r="L128" s="2687"/>
      <c r="M128" s="2686"/>
      <c r="N128" s="2686"/>
      <c r="O128" s="2687"/>
      <c r="P128" s="2686"/>
      <c r="Q128" s="2686"/>
      <c r="R128" s="2688"/>
    </row>
    <row r="129" spans="2:18" s="906" customFormat="1">
      <c r="B129" s="2686"/>
      <c r="C129" s="2686"/>
      <c r="D129" s="2686"/>
      <c r="E129" s="2686"/>
      <c r="F129" s="2686"/>
      <c r="G129" s="2687"/>
      <c r="H129" s="2686"/>
      <c r="I129" s="2687"/>
      <c r="J129" s="2686"/>
      <c r="K129" s="2686"/>
      <c r="L129" s="2687"/>
      <c r="M129" s="2686"/>
      <c r="N129" s="2686"/>
      <c r="O129" s="2687"/>
      <c r="P129" s="2686"/>
      <c r="Q129" s="2686"/>
      <c r="R129" s="2688"/>
    </row>
    <row r="130" spans="2:18" s="906" customFormat="1">
      <c r="B130" s="2686"/>
      <c r="C130" s="2686"/>
      <c r="D130" s="2686"/>
      <c r="E130" s="2686"/>
      <c r="F130" s="2686"/>
      <c r="G130" s="2687"/>
      <c r="H130" s="2686"/>
      <c r="I130" s="2687"/>
      <c r="J130" s="2686"/>
      <c r="K130" s="2686"/>
      <c r="L130" s="2687"/>
      <c r="M130" s="2686"/>
      <c r="N130" s="2686"/>
      <c r="O130" s="2687"/>
      <c r="P130" s="2686"/>
      <c r="Q130" s="2686"/>
      <c r="R130" s="2688"/>
    </row>
    <row r="131" spans="2:18" s="906" customFormat="1">
      <c r="B131" s="2686"/>
      <c r="C131" s="2686"/>
      <c r="D131" s="2686"/>
      <c r="E131" s="2686"/>
      <c r="F131" s="2686"/>
      <c r="G131" s="2687"/>
      <c r="H131" s="2686"/>
      <c r="I131" s="2687"/>
      <c r="J131" s="2686"/>
      <c r="K131" s="2686"/>
      <c r="L131" s="2687"/>
      <c r="M131" s="2686"/>
      <c r="N131" s="2686"/>
      <c r="O131" s="2687"/>
      <c r="P131" s="2686"/>
      <c r="Q131" s="2686"/>
      <c r="R131" s="2688"/>
    </row>
    <row r="132" spans="2:18" s="906" customFormat="1">
      <c r="B132" s="2686"/>
      <c r="C132" s="2686"/>
      <c r="D132" s="2686"/>
      <c r="E132" s="2686"/>
      <c r="F132" s="2686"/>
      <c r="G132" s="2687"/>
      <c r="H132" s="2686"/>
      <c r="I132" s="2687"/>
      <c r="J132" s="2686"/>
      <c r="K132" s="2686"/>
      <c r="L132" s="2687"/>
      <c r="M132" s="2686"/>
      <c r="N132" s="2686"/>
      <c r="O132" s="2687"/>
      <c r="P132" s="2686"/>
      <c r="Q132" s="2686"/>
      <c r="R132" s="2688"/>
    </row>
    <row r="133" spans="2:18" s="906" customFormat="1">
      <c r="B133" s="2686"/>
      <c r="C133" s="2686"/>
      <c r="D133" s="2686"/>
      <c r="E133" s="2686"/>
      <c r="F133" s="2686"/>
      <c r="G133" s="2687"/>
      <c r="H133" s="2686"/>
      <c r="I133" s="2687"/>
      <c r="J133" s="2686"/>
      <c r="K133" s="2686"/>
      <c r="L133" s="2687"/>
      <c r="M133" s="2686"/>
      <c r="N133" s="2686"/>
      <c r="O133" s="2687"/>
      <c r="P133" s="2686"/>
      <c r="Q133" s="2686"/>
      <c r="R133" s="2688"/>
    </row>
    <row r="134" spans="2:18" s="906" customFormat="1">
      <c r="B134" s="2686"/>
      <c r="C134" s="2686"/>
      <c r="D134" s="2686"/>
      <c r="E134" s="2686"/>
      <c r="F134" s="2686"/>
      <c r="G134" s="2687"/>
      <c r="H134" s="2686"/>
      <c r="I134" s="2687"/>
      <c r="J134" s="2686"/>
      <c r="K134" s="2686"/>
      <c r="L134" s="2687"/>
      <c r="M134" s="2686"/>
      <c r="N134" s="2686"/>
      <c r="O134" s="2687"/>
      <c r="P134" s="2686"/>
      <c r="Q134" s="2686"/>
      <c r="R134" s="2688"/>
    </row>
    <row r="135" spans="2:18" s="906" customFormat="1">
      <c r="B135" s="2686"/>
      <c r="C135" s="2686"/>
      <c r="D135" s="2686"/>
      <c r="E135" s="2686"/>
      <c r="F135" s="2686"/>
      <c r="G135" s="2687"/>
      <c r="H135" s="2686"/>
      <c r="I135" s="2687"/>
      <c r="J135" s="2686"/>
      <c r="K135" s="2686"/>
      <c r="L135" s="2687"/>
      <c r="M135" s="2686"/>
      <c r="N135" s="2686"/>
      <c r="O135" s="2687"/>
      <c r="P135" s="2686"/>
      <c r="Q135" s="2686"/>
      <c r="R135" s="2688"/>
    </row>
    <row r="136" spans="2:18" s="906" customFormat="1">
      <c r="B136" s="2686"/>
      <c r="C136" s="2686"/>
      <c r="D136" s="2686"/>
      <c r="E136" s="2686"/>
      <c r="F136" s="2686"/>
      <c r="G136" s="2687"/>
      <c r="H136" s="2686"/>
      <c r="I136" s="2687"/>
      <c r="J136" s="2686"/>
      <c r="K136" s="2686"/>
      <c r="L136" s="2687"/>
      <c r="M136" s="2686"/>
      <c r="N136" s="2686"/>
      <c r="O136" s="2687"/>
      <c r="P136" s="2686"/>
      <c r="Q136" s="2686"/>
      <c r="R136" s="2688"/>
    </row>
    <row r="137" spans="2:18" s="906" customFormat="1">
      <c r="B137" s="2686"/>
      <c r="C137" s="2686"/>
      <c r="D137" s="2686"/>
      <c r="E137" s="2686"/>
      <c r="F137" s="2686"/>
      <c r="G137" s="2687"/>
      <c r="H137" s="2686"/>
      <c r="I137" s="2687"/>
      <c r="J137" s="2686"/>
      <c r="K137" s="2686"/>
      <c r="L137" s="2687"/>
      <c r="M137" s="2686"/>
      <c r="N137" s="2686"/>
      <c r="O137" s="2687"/>
      <c r="P137" s="2686"/>
      <c r="Q137" s="2686"/>
      <c r="R137" s="2688"/>
    </row>
    <row r="138" spans="2:18" s="906" customFormat="1">
      <c r="B138" s="2686"/>
      <c r="C138" s="2686"/>
      <c r="D138" s="2686"/>
      <c r="E138" s="2686"/>
      <c r="F138" s="2686"/>
      <c r="G138" s="2687"/>
      <c r="H138" s="2686"/>
      <c r="I138" s="2687"/>
      <c r="J138" s="2686"/>
      <c r="K138" s="2686"/>
      <c r="L138" s="2687"/>
      <c r="M138" s="2686"/>
      <c r="N138" s="2686"/>
      <c r="O138" s="2687"/>
      <c r="P138" s="2686"/>
      <c r="Q138" s="2686"/>
      <c r="R138" s="2688"/>
    </row>
    <row r="139" spans="2:18" s="906" customFormat="1">
      <c r="B139" s="2686"/>
      <c r="C139" s="2686"/>
      <c r="D139" s="2686"/>
      <c r="E139" s="2686"/>
      <c r="F139" s="2686"/>
      <c r="G139" s="2687"/>
      <c r="H139" s="2686"/>
      <c r="I139" s="2687"/>
      <c r="J139" s="2686"/>
      <c r="K139" s="2686"/>
      <c r="L139" s="2687"/>
      <c r="M139" s="2686"/>
      <c r="N139" s="2686"/>
      <c r="O139" s="2687"/>
      <c r="P139" s="2686"/>
      <c r="Q139" s="2686"/>
      <c r="R139" s="2688"/>
    </row>
    <row r="140" spans="2:18" s="906" customFormat="1">
      <c r="B140" s="2686"/>
      <c r="C140" s="2686"/>
      <c r="D140" s="2686"/>
      <c r="E140" s="2686"/>
      <c r="F140" s="2686"/>
      <c r="G140" s="2687"/>
      <c r="H140" s="2686"/>
      <c r="I140" s="2687"/>
      <c r="J140" s="2686"/>
      <c r="K140" s="2686"/>
      <c r="L140" s="2687"/>
      <c r="M140" s="2686"/>
      <c r="N140" s="2686"/>
      <c r="O140" s="2687"/>
      <c r="P140" s="2686"/>
      <c r="Q140" s="2686"/>
      <c r="R140" s="2688"/>
    </row>
    <row r="141" spans="2:18" s="906" customFormat="1">
      <c r="B141" s="2686"/>
      <c r="C141" s="2686"/>
      <c r="D141" s="2686"/>
      <c r="E141" s="2686"/>
      <c r="F141" s="2686"/>
      <c r="G141" s="2687"/>
      <c r="H141" s="2686"/>
      <c r="I141" s="2687"/>
      <c r="J141" s="2686"/>
      <c r="K141" s="2686"/>
      <c r="L141" s="2687"/>
      <c r="M141" s="2686"/>
      <c r="N141" s="2686"/>
      <c r="O141" s="2687"/>
      <c r="P141" s="2686"/>
      <c r="Q141" s="2686"/>
      <c r="R141" s="2688"/>
    </row>
    <row r="142" spans="2:18" s="906" customFormat="1">
      <c r="B142" s="2686"/>
      <c r="C142" s="2686"/>
      <c r="D142" s="2686"/>
      <c r="E142" s="2686"/>
      <c r="F142" s="2686"/>
      <c r="G142" s="2687"/>
      <c r="H142" s="2686"/>
      <c r="I142" s="2687"/>
      <c r="J142" s="2686"/>
      <c r="K142" s="2686"/>
      <c r="L142" s="2687"/>
      <c r="M142" s="2686"/>
      <c r="N142" s="2686"/>
      <c r="O142" s="2687"/>
      <c r="P142" s="2686"/>
      <c r="Q142" s="2686"/>
      <c r="R142" s="2688"/>
    </row>
    <row r="143" spans="2:18" s="906" customFormat="1">
      <c r="B143" s="2686"/>
      <c r="C143" s="2686"/>
      <c r="D143" s="2686"/>
      <c r="E143" s="2686"/>
      <c r="F143" s="2686"/>
      <c r="G143" s="2687"/>
      <c r="H143" s="2686"/>
      <c r="I143" s="2687"/>
      <c r="J143" s="2686"/>
      <c r="K143" s="2686"/>
      <c r="L143" s="2687"/>
      <c r="M143" s="2686"/>
      <c r="N143" s="2686"/>
      <c r="O143" s="2687"/>
      <c r="P143" s="2686"/>
      <c r="Q143" s="2686"/>
      <c r="R143" s="2688"/>
    </row>
    <row r="144" spans="2:18" s="906" customFormat="1">
      <c r="B144" s="2686"/>
      <c r="C144" s="2686"/>
      <c r="D144" s="2686"/>
      <c r="E144" s="2686"/>
      <c r="F144" s="2686"/>
      <c r="G144" s="2687"/>
      <c r="H144" s="2686"/>
      <c r="I144" s="2687"/>
      <c r="J144" s="2686"/>
      <c r="K144" s="2686"/>
      <c r="L144" s="2687"/>
      <c r="M144" s="2686"/>
      <c r="N144" s="2686"/>
      <c r="O144" s="2687"/>
      <c r="P144" s="2686"/>
      <c r="Q144" s="2686"/>
      <c r="R144" s="2688"/>
    </row>
    <row r="145" spans="2:18" s="906" customFormat="1">
      <c r="B145" s="2686"/>
      <c r="C145" s="2686"/>
      <c r="D145" s="2686"/>
      <c r="E145" s="2686"/>
      <c r="F145" s="2686"/>
      <c r="G145" s="2687"/>
      <c r="H145" s="2686"/>
      <c r="I145" s="2687"/>
      <c r="J145" s="2686"/>
      <c r="K145" s="2686"/>
      <c r="L145" s="2687"/>
      <c r="M145" s="2686"/>
      <c r="N145" s="2686"/>
      <c r="O145" s="2687"/>
      <c r="P145" s="2686"/>
      <c r="Q145" s="2686"/>
      <c r="R145" s="2688"/>
    </row>
    <row r="146" spans="2:18" s="906" customFormat="1">
      <c r="B146" s="2686"/>
      <c r="C146" s="2686"/>
      <c r="D146" s="2686"/>
      <c r="E146" s="2686"/>
      <c r="F146" s="2686"/>
      <c r="G146" s="2687"/>
      <c r="H146" s="2686"/>
      <c r="I146" s="2687"/>
      <c r="J146" s="2686"/>
      <c r="K146" s="2686"/>
      <c r="L146" s="2687"/>
      <c r="M146" s="2686"/>
      <c r="N146" s="2686"/>
      <c r="O146" s="2687"/>
      <c r="P146" s="2686"/>
      <c r="Q146" s="2686"/>
      <c r="R146" s="2688"/>
    </row>
    <row r="147" spans="2:18" s="906" customFormat="1">
      <c r="B147" s="2686"/>
      <c r="C147" s="2686"/>
      <c r="D147" s="2686"/>
      <c r="E147" s="2686"/>
      <c r="F147" s="2686"/>
      <c r="G147" s="2687"/>
      <c r="H147" s="2686"/>
      <c r="I147" s="2687"/>
      <c r="J147" s="2686"/>
      <c r="K147" s="2686"/>
      <c r="L147" s="2687"/>
      <c r="M147" s="2686"/>
      <c r="N147" s="2686"/>
      <c r="O147" s="2687"/>
      <c r="P147" s="2686"/>
      <c r="Q147" s="2686"/>
      <c r="R147" s="2688"/>
    </row>
    <row r="148" spans="2:18" s="906" customFormat="1">
      <c r="B148" s="2686"/>
      <c r="C148" s="2686"/>
      <c r="D148" s="2686"/>
      <c r="E148" s="2686"/>
      <c r="F148" s="2686"/>
      <c r="G148" s="2687"/>
      <c r="H148" s="2686"/>
      <c r="I148" s="2687"/>
      <c r="J148" s="2686"/>
      <c r="K148" s="2686"/>
      <c r="L148" s="2687"/>
      <c r="M148" s="2686"/>
      <c r="N148" s="2686"/>
      <c r="O148" s="2687"/>
      <c r="P148" s="2686"/>
      <c r="Q148" s="2686"/>
      <c r="R148" s="2688"/>
    </row>
    <row r="149" spans="2:18" s="906" customFormat="1">
      <c r="B149" s="2686"/>
      <c r="C149" s="2686"/>
      <c r="D149" s="2686"/>
      <c r="E149" s="2686"/>
      <c r="F149" s="2686"/>
      <c r="G149" s="2687"/>
      <c r="H149" s="2686"/>
      <c r="I149" s="2687"/>
      <c r="J149" s="2686"/>
      <c r="K149" s="2686"/>
      <c r="L149" s="2687"/>
      <c r="M149" s="2686"/>
      <c r="N149" s="2686"/>
      <c r="O149" s="2687"/>
      <c r="P149" s="2686"/>
      <c r="Q149" s="2686"/>
      <c r="R149" s="2688"/>
    </row>
    <row r="150" spans="2:18" s="906" customFormat="1">
      <c r="B150" s="2686"/>
      <c r="C150" s="2686"/>
      <c r="D150" s="2686"/>
      <c r="E150" s="2686"/>
      <c r="F150" s="2686"/>
      <c r="G150" s="2687"/>
      <c r="H150" s="2686"/>
      <c r="I150" s="2687"/>
      <c r="J150" s="2686"/>
      <c r="K150" s="2686"/>
      <c r="L150" s="2687"/>
      <c r="M150" s="2686"/>
      <c r="N150" s="2686"/>
      <c r="O150" s="2687"/>
      <c r="P150" s="2686"/>
      <c r="Q150" s="2686"/>
      <c r="R150" s="2688"/>
    </row>
    <row r="151" spans="2:18" s="906" customFormat="1">
      <c r="B151" s="2686"/>
      <c r="C151" s="2686"/>
      <c r="D151" s="2686"/>
      <c r="E151" s="2686"/>
      <c r="F151" s="2686"/>
      <c r="G151" s="2687"/>
      <c r="H151" s="2686"/>
      <c r="I151" s="2687"/>
      <c r="J151" s="2686"/>
      <c r="K151" s="2686"/>
      <c r="L151" s="2687"/>
      <c r="M151" s="2686"/>
      <c r="N151" s="2686"/>
      <c r="O151" s="2687"/>
      <c r="P151" s="2686"/>
      <c r="Q151" s="2686"/>
      <c r="R151" s="2688"/>
    </row>
    <row r="152" spans="2:18" s="906" customFormat="1">
      <c r="B152" s="2686"/>
      <c r="C152" s="2686"/>
      <c r="D152" s="2686"/>
      <c r="E152" s="2686"/>
      <c r="F152" s="2686"/>
      <c r="G152" s="2687"/>
      <c r="H152" s="2686"/>
      <c r="I152" s="2687"/>
      <c r="J152" s="2686"/>
      <c r="K152" s="2686"/>
      <c r="L152" s="2687"/>
      <c r="M152" s="2686"/>
      <c r="N152" s="2686"/>
      <c r="O152" s="2687"/>
      <c r="P152" s="2686"/>
      <c r="Q152" s="2686"/>
      <c r="R152" s="2688"/>
    </row>
    <row r="153" spans="2:18" s="906" customFormat="1">
      <c r="B153" s="2686"/>
      <c r="C153" s="2686"/>
      <c r="D153" s="2686"/>
      <c r="E153" s="2686"/>
      <c r="F153" s="2686"/>
      <c r="G153" s="2687"/>
      <c r="H153" s="2686"/>
      <c r="I153" s="2687"/>
      <c r="J153" s="2686"/>
      <c r="K153" s="2686"/>
      <c r="L153" s="2687"/>
      <c r="M153" s="2686"/>
      <c r="N153" s="2686"/>
      <c r="O153" s="2687"/>
      <c r="P153" s="2686"/>
      <c r="Q153" s="2686"/>
      <c r="R153" s="2688"/>
    </row>
    <row r="154" spans="2:18" s="906" customFormat="1">
      <c r="B154" s="2686"/>
      <c r="C154" s="2686"/>
      <c r="D154" s="2686"/>
      <c r="E154" s="2686"/>
      <c r="F154" s="2686"/>
      <c r="G154" s="2687"/>
      <c r="H154" s="2686"/>
      <c r="I154" s="2687"/>
      <c r="J154" s="2686"/>
      <c r="K154" s="2686"/>
      <c r="L154" s="2687"/>
      <c r="M154" s="2686"/>
      <c r="N154" s="2686"/>
      <c r="O154" s="2687"/>
      <c r="P154" s="2686"/>
      <c r="Q154" s="2686"/>
      <c r="R154" s="2688"/>
    </row>
    <row r="155" spans="2:18" s="906" customFormat="1">
      <c r="B155" s="2686"/>
      <c r="C155" s="2686"/>
      <c r="D155" s="2686"/>
      <c r="E155" s="2686"/>
      <c r="F155" s="2686"/>
      <c r="G155" s="2687"/>
      <c r="H155" s="2686"/>
      <c r="I155" s="2687"/>
      <c r="J155" s="2686"/>
      <c r="K155" s="2686"/>
      <c r="L155" s="2687"/>
      <c r="M155" s="2686"/>
      <c r="N155" s="2686"/>
      <c r="O155" s="2687"/>
      <c r="P155" s="2686"/>
      <c r="Q155" s="2686"/>
      <c r="R155" s="2688"/>
    </row>
    <row r="156" spans="2:18" s="906" customFormat="1">
      <c r="B156" s="2686"/>
      <c r="C156" s="2686"/>
      <c r="D156" s="2686"/>
      <c r="E156" s="2686"/>
      <c r="F156" s="2686"/>
      <c r="G156" s="2687"/>
      <c r="H156" s="2686"/>
      <c r="I156" s="2687"/>
      <c r="J156" s="2686"/>
      <c r="K156" s="2686"/>
      <c r="L156" s="2687"/>
      <c r="M156" s="2686"/>
      <c r="N156" s="2686"/>
      <c r="O156" s="2687"/>
      <c r="P156" s="2686"/>
      <c r="Q156" s="2686"/>
      <c r="R156" s="2688"/>
    </row>
    <row r="157" spans="2:18" s="906" customFormat="1">
      <c r="B157" s="2686"/>
      <c r="C157" s="2686"/>
      <c r="D157" s="2686"/>
      <c r="E157" s="2686"/>
      <c r="F157" s="2686"/>
      <c r="G157" s="2687"/>
      <c r="H157" s="2686"/>
      <c r="I157" s="2687"/>
      <c r="J157" s="2686"/>
      <c r="K157" s="2686"/>
      <c r="L157" s="2687"/>
      <c r="M157" s="2686"/>
      <c r="N157" s="2686"/>
      <c r="O157" s="2687"/>
      <c r="P157" s="2686"/>
      <c r="Q157" s="2686"/>
      <c r="R157" s="2688"/>
    </row>
    <row r="158" spans="2:18" s="906" customFormat="1">
      <c r="B158" s="2686"/>
      <c r="C158" s="2686"/>
      <c r="D158" s="2686"/>
      <c r="E158" s="2686"/>
      <c r="F158" s="2686"/>
      <c r="G158" s="2687"/>
      <c r="H158" s="2686"/>
      <c r="I158" s="2687"/>
      <c r="J158" s="2686"/>
      <c r="K158" s="2686"/>
      <c r="L158" s="2687"/>
      <c r="M158" s="2686"/>
      <c r="N158" s="2686"/>
      <c r="O158" s="2687"/>
      <c r="P158" s="2686"/>
      <c r="Q158" s="2686"/>
      <c r="R158" s="2688"/>
    </row>
    <row r="159" spans="2:18" s="906" customFormat="1">
      <c r="B159" s="2686"/>
      <c r="C159" s="2686"/>
      <c r="D159" s="2686"/>
      <c r="E159" s="2686"/>
      <c r="F159" s="2686"/>
      <c r="G159" s="2687"/>
      <c r="H159" s="2686"/>
      <c r="I159" s="2687"/>
      <c r="J159" s="2686"/>
      <c r="K159" s="2686"/>
      <c r="L159" s="2687"/>
      <c r="M159" s="2686"/>
      <c r="N159" s="2686"/>
      <c r="O159" s="2687"/>
      <c r="P159" s="2686"/>
      <c r="Q159" s="2686"/>
      <c r="R159" s="2688"/>
    </row>
    <row r="160" spans="2:18" s="906" customFormat="1">
      <c r="B160" s="2686"/>
      <c r="C160" s="2686"/>
      <c r="D160" s="2686"/>
      <c r="E160" s="2686"/>
      <c r="F160" s="2686"/>
      <c r="G160" s="2687"/>
      <c r="H160" s="2686"/>
      <c r="I160" s="2687"/>
      <c r="J160" s="2686"/>
      <c r="K160" s="2686"/>
      <c r="L160" s="2687"/>
      <c r="M160" s="2686"/>
      <c r="N160" s="2686"/>
      <c r="O160" s="2687"/>
      <c r="P160" s="2686"/>
      <c r="Q160" s="2686"/>
      <c r="R160" s="2688"/>
    </row>
    <row r="161" spans="2:18" s="906" customFormat="1">
      <c r="B161" s="2686"/>
      <c r="C161" s="2686"/>
      <c r="D161" s="2686"/>
      <c r="E161" s="2686"/>
      <c r="F161" s="2686"/>
      <c r="G161" s="2687"/>
      <c r="H161" s="2686"/>
      <c r="I161" s="2687"/>
      <c r="J161" s="2686"/>
      <c r="K161" s="2686"/>
      <c r="L161" s="2687"/>
      <c r="M161" s="2686"/>
      <c r="N161" s="2686"/>
      <c r="O161" s="2687"/>
      <c r="P161" s="2686"/>
      <c r="Q161" s="2686"/>
      <c r="R161" s="2688"/>
    </row>
    <row r="162" spans="2:18" s="906" customFormat="1">
      <c r="B162" s="2686"/>
      <c r="C162" s="2686"/>
      <c r="D162" s="2686"/>
      <c r="E162" s="2686"/>
      <c r="F162" s="2686"/>
      <c r="G162" s="2687"/>
      <c r="H162" s="2686"/>
      <c r="I162" s="2687"/>
      <c r="J162" s="2686"/>
      <c r="K162" s="2686"/>
      <c r="L162" s="2687"/>
      <c r="M162" s="2686"/>
      <c r="N162" s="2686"/>
      <c r="O162" s="2687"/>
      <c r="P162" s="2686"/>
      <c r="Q162" s="2686"/>
      <c r="R162" s="2688"/>
    </row>
    <row r="163" spans="2:18" s="906" customFormat="1">
      <c r="B163" s="2686"/>
      <c r="C163" s="2686"/>
      <c r="D163" s="2686"/>
      <c r="E163" s="2686"/>
      <c r="F163" s="2686"/>
      <c r="G163" s="2687"/>
      <c r="H163" s="2686"/>
      <c r="I163" s="2687"/>
      <c r="J163" s="2686"/>
      <c r="K163" s="2686"/>
      <c r="L163" s="2687"/>
      <c r="M163" s="2686"/>
      <c r="N163" s="2686"/>
      <c r="O163" s="2687"/>
      <c r="P163" s="2686"/>
      <c r="Q163" s="2686"/>
      <c r="R163" s="2688"/>
    </row>
    <row r="164" spans="2:18" s="906" customFormat="1">
      <c r="B164" s="2686"/>
      <c r="C164" s="2686"/>
      <c r="D164" s="2686"/>
      <c r="E164" s="2686"/>
      <c r="F164" s="2686"/>
      <c r="G164" s="2687"/>
      <c r="H164" s="2686"/>
      <c r="I164" s="2687"/>
      <c r="J164" s="2686"/>
      <c r="K164" s="2686"/>
      <c r="L164" s="2687"/>
      <c r="M164" s="2686"/>
      <c r="N164" s="2686"/>
      <c r="O164" s="2687"/>
      <c r="P164" s="2686"/>
      <c r="Q164" s="2686"/>
      <c r="R164" s="2688"/>
    </row>
    <row r="165" spans="2:18" s="906" customFormat="1">
      <c r="B165" s="2686"/>
      <c r="C165" s="2686"/>
      <c r="D165" s="2686"/>
      <c r="E165" s="2686"/>
      <c r="F165" s="2686"/>
      <c r="G165" s="2687"/>
      <c r="H165" s="2686"/>
      <c r="I165" s="2687"/>
      <c r="J165" s="2686"/>
      <c r="K165" s="2686"/>
      <c r="L165" s="2687"/>
      <c r="M165" s="2686"/>
      <c r="N165" s="2686"/>
      <c r="O165" s="2687"/>
      <c r="P165" s="2686"/>
      <c r="Q165" s="2686"/>
      <c r="R165" s="2688"/>
    </row>
    <row r="166" spans="2:18" s="906" customFormat="1">
      <c r="B166" s="2686"/>
      <c r="C166" s="2686"/>
      <c r="D166" s="2686"/>
      <c r="E166" s="2686"/>
      <c r="F166" s="2686"/>
      <c r="G166" s="2687"/>
      <c r="H166" s="2686"/>
      <c r="I166" s="2687"/>
      <c r="J166" s="2686"/>
      <c r="K166" s="2686"/>
      <c r="L166" s="2687"/>
      <c r="M166" s="2686"/>
      <c r="N166" s="2686"/>
      <c r="O166" s="2687"/>
      <c r="P166" s="2686"/>
      <c r="Q166" s="2686"/>
      <c r="R166" s="2688"/>
    </row>
    <row r="167" spans="2:18" s="906" customFormat="1">
      <c r="B167" s="2686"/>
      <c r="C167" s="2686"/>
      <c r="D167" s="2686"/>
      <c r="E167" s="2686"/>
      <c r="F167" s="2686"/>
      <c r="G167" s="2687"/>
      <c r="H167" s="2686"/>
      <c r="I167" s="2687"/>
      <c r="J167" s="2686"/>
      <c r="K167" s="2686"/>
      <c r="L167" s="2687"/>
      <c r="M167" s="2686"/>
      <c r="N167" s="2686"/>
      <c r="O167" s="2687"/>
      <c r="P167" s="2686"/>
      <c r="Q167" s="2686"/>
      <c r="R167" s="2688"/>
    </row>
    <row r="168" spans="2:18" s="906" customFormat="1">
      <c r="B168" s="2686"/>
      <c r="C168" s="2686"/>
      <c r="D168" s="2686"/>
      <c r="E168" s="2686"/>
      <c r="F168" s="2686"/>
      <c r="G168" s="2687"/>
      <c r="H168" s="2686"/>
      <c r="I168" s="2687"/>
      <c r="J168" s="2686"/>
      <c r="K168" s="2686"/>
      <c r="L168" s="2687"/>
      <c r="M168" s="2686"/>
      <c r="N168" s="2686"/>
      <c r="O168" s="2687"/>
      <c r="P168" s="2686"/>
      <c r="Q168" s="2686"/>
      <c r="R168" s="2688"/>
    </row>
    <row r="169" spans="2:18" s="906" customFormat="1">
      <c r="B169" s="2686"/>
      <c r="C169" s="2686"/>
      <c r="D169" s="2686"/>
      <c r="E169" s="2686"/>
      <c r="F169" s="2686"/>
      <c r="G169" s="2687"/>
      <c r="H169" s="2686"/>
      <c r="I169" s="2687"/>
      <c r="J169" s="2686"/>
      <c r="K169" s="2686"/>
      <c r="L169" s="2687"/>
      <c r="M169" s="2686"/>
      <c r="N169" s="2686"/>
      <c r="O169" s="2687"/>
      <c r="P169" s="2686"/>
      <c r="Q169" s="2686"/>
      <c r="R169" s="2688"/>
    </row>
    <row r="170" spans="2:18" s="906" customFormat="1">
      <c r="B170" s="2686"/>
      <c r="C170" s="2686"/>
      <c r="D170" s="2686"/>
      <c r="E170" s="2686"/>
      <c r="F170" s="2686"/>
      <c r="G170" s="2687"/>
      <c r="H170" s="2686"/>
      <c r="I170" s="2687"/>
      <c r="J170" s="2686"/>
      <c r="K170" s="2686"/>
      <c r="L170" s="2687"/>
      <c r="M170" s="2686"/>
      <c r="N170" s="2686"/>
      <c r="O170" s="2687"/>
      <c r="P170" s="2686"/>
      <c r="Q170" s="2686"/>
      <c r="R170" s="2688"/>
    </row>
    <row r="171" spans="2:18" s="906" customFormat="1">
      <c r="B171" s="2686"/>
      <c r="C171" s="2686"/>
      <c r="D171" s="2686"/>
      <c r="E171" s="2686"/>
      <c r="F171" s="2686"/>
      <c r="G171" s="2687"/>
      <c r="H171" s="2686"/>
      <c r="I171" s="2687"/>
      <c r="J171" s="2686"/>
      <c r="K171" s="2686"/>
      <c r="L171" s="2687"/>
      <c r="M171" s="2686"/>
      <c r="N171" s="2686"/>
      <c r="O171" s="2687"/>
      <c r="P171" s="2686"/>
      <c r="Q171" s="2686"/>
      <c r="R171" s="2688"/>
    </row>
    <row r="172" spans="2:18" s="906" customFormat="1">
      <c r="B172" s="2686"/>
      <c r="C172" s="2686"/>
      <c r="D172" s="2686"/>
      <c r="E172" s="2686"/>
      <c r="F172" s="2686"/>
      <c r="G172" s="2687"/>
      <c r="H172" s="2686"/>
      <c r="I172" s="2687"/>
      <c r="J172" s="2686"/>
      <c r="K172" s="2686"/>
      <c r="L172" s="2687"/>
      <c r="M172" s="2686"/>
      <c r="N172" s="2686"/>
      <c r="O172" s="2687"/>
      <c r="P172" s="2686"/>
      <c r="Q172" s="2686"/>
      <c r="R172" s="2688"/>
    </row>
    <row r="173" spans="2:18" s="906" customFormat="1">
      <c r="B173" s="2686"/>
      <c r="C173" s="2686"/>
      <c r="D173" s="2686"/>
      <c r="E173" s="2686"/>
      <c r="F173" s="2686"/>
      <c r="G173" s="2687"/>
      <c r="H173" s="2686"/>
      <c r="I173" s="2687"/>
      <c r="J173" s="2686"/>
      <c r="K173" s="2686"/>
      <c r="L173" s="2687"/>
      <c r="M173" s="2686"/>
      <c r="N173" s="2686"/>
      <c r="O173" s="2687"/>
      <c r="P173" s="2686"/>
      <c r="Q173" s="2686"/>
      <c r="R173" s="2688"/>
    </row>
    <row r="174" spans="2:18" s="906" customFormat="1">
      <c r="B174" s="2686"/>
      <c r="C174" s="2686"/>
      <c r="D174" s="2686"/>
      <c r="E174" s="2686"/>
      <c r="F174" s="2686"/>
      <c r="G174" s="2687"/>
      <c r="H174" s="2686"/>
      <c r="I174" s="2687"/>
      <c r="J174" s="2686"/>
      <c r="K174" s="2686"/>
      <c r="L174" s="2687"/>
      <c r="M174" s="2686"/>
      <c r="N174" s="2686"/>
      <c r="O174" s="2687"/>
      <c r="P174" s="2686"/>
      <c r="Q174" s="2686"/>
      <c r="R174" s="2688"/>
    </row>
    <row r="175" spans="2:18" s="906" customFormat="1">
      <c r="B175" s="2686"/>
      <c r="C175" s="2686"/>
      <c r="D175" s="2686"/>
      <c r="E175" s="2686"/>
      <c r="F175" s="2686"/>
      <c r="G175" s="2687"/>
      <c r="H175" s="2686"/>
      <c r="I175" s="2687"/>
      <c r="J175" s="2686"/>
      <c r="K175" s="2686"/>
      <c r="L175" s="2687"/>
      <c r="M175" s="2686"/>
      <c r="N175" s="2686"/>
      <c r="O175" s="2687"/>
      <c r="P175" s="2686"/>
      <c r="Q175" s="2686"/>
      <c r="R175" s="2688"/>
    </row>
    <row r="176" spans="2:18" s="906" customFormat="1">
      <c r="B176" s="2686"/>
      <c r="C176" s="2686"/>
      <c r="D176" s="2686"/>
      <c r="E176" s="2686"/>
      <c r="F176" s="2686"/>
      <c r="G176" s="2687"/>
      <c r="H176" s="2686"/>
      <c r="I176" s="2687"/>
      <c r="J176" s="2686"/>
      <c r="K176" s="2686"/>
      <c r="L176" s="2687"/>
      <c r="M176" s="2686"/>
      <c r="N176" s="2686"/>
      <c r="O176" s="2687"/>
      <c r="P176" s="2686"/>
      <c r="Q176" s="2686"/>
      <c r="R176" s="2688"/>
    </row>
    <row r="177" spans="1:18" s="906" customFormat="1">
      <c r="B177" s="2686"/>
      <c r="C177" s="2686"/>
      <c r="D177" s="2686"/>
      <c r="E177" s="2686"/>
      <c r="F177" s="2686"/>
      <c r="G177" s="2687"/>
      <c r="H177" s="2686"/>
      <c r="I177" s="2687"/>
      <c r="J177" s="2686"/>
      <c r="K177" s="2686"/>
      <c r="L177" s="2687"/>
      <c r="M177" s="2686"/>
      <c r="N177" s="2686"/>
      <c r="O177" s="2687"/>
      <c r="P177" s="2686"/>
      <c r="Q177" s="2686"/>
      <c r="R177" s="2688"/>
    </row>
    <row r="178" spans="1:18" s="906" customFormat="1">
      <c r="B178" s="2686"/>
      <c r="C178" s="2686"/>
      <c r="D178" s="2686"/>
      <c r="E178" s="2686"/>
      <c r="F178" s="2686"/>
      <c r="G178" s="2687"/>
      <c r="H178" s="2686"/>
      <c r="I178" s="2687"/>
      <c r="J178" s="2686"/>
      <c r="K178" s="2686"/>
      <c r="L178" s="2687"/>
      <c r="M178" s="2686"/>
      <c r="N178" s="2686"/>
      <c r="O178" s="2687"/>
      <c r="P178" s="2686"/>
      <c r="Q178" s="2686"/>
      <c r="R178" s="2688"/>
    </row>
    <row r="179" spans="1:18" s="906" customFormat="1">
      <c r="B179" s="2686"/>
      <c r="C179" s="2686"/>
      <c r="D179" s="2686"/>
      <c r="E179" s="2686"/>
      <c r="F179" s="2686"/>
      <c r="G179" s="2687"/>
      <c r="H179" s="2686"/>
      <c r="I179" s="2687"/>
      <c r="J179" s="2686"/>
      <c r="K179" s="2686"/>
      <c r="L179" s="2687"/>
      <c r="M179" s="2686"/>
      <c r="N179" s="2686"/>
      <c r="O179" s="2687"/>
      <c r="P179" s="2686"/>
      <c r="Q179" s="2686"/>
      <c r="R179" s="2688"/>
    </row>
    <row r="180" spans="1:18" s="906" customFormat="1">
      <c r="B180" s="2686"/>
      <c r="C180" s="2686"/>
      <c r="D180" s="2686"/>
      <c r="E180" s="2686"/>
      <c r="F180" s="2686"/>
      <c r="G180" s="2687"/>
      <c r="H180" s="2686"/>
      <c r="I180" s="2687"/>
      <c r="J180" s="2686"/>
      <c r="K180" s="2686"/>
      <c r="L180" s="2687"/>
      <c r="M180" s="2686"/>
      <c r="N180" s="2686"/>
      <c r="O180" s="2687"/>
      <c r="P180" s="2686"/>
      <c r="Q180" s="2686"/>
      <c r="R180" s="2688"/>
    </row>
    <row r="181" spans="1:18" s="906" customFormat="1">
      <c r="B181" s="2686"/>
      <c r="C181" s="2686"/>
      <c r="D181" s="2686"/>
      <c r="E181" s="2686"/>
      <c r="F181" s="2686"/>
      <c r="G181" s="2687"/>
      <c r="H181" s="2686"/>
      <c r="I181" s="2687"/>
      <c r="J181" s="2686"/>
      <c r="K181" s="2686"/>
      <c r="L181" s="2687"/>
      <c r="M181" s="2686"/>
      <c r="N181" s="2686"/>
      <c r="O181" s="2687"/>
      <c r="P181" s="2686"/>
      <c r="Q181" s="2686"/>
      <c r="R181" s="2688"/>
    </row>
    <row r="182" spans="1:18" s="906" customFormat="1">
      <c r="B182" s="2686"/>
      <c r="C182" s="2686"/>
      <c r="D182" s="2686"/>
      <c r="E182" s="2686"/>
      <c r="F182" s="2686"/>
      <c r="G182" s="2687"/>
      <c r="H182" s="2686"/>
      <c r="I182" s="2687"/>
      <c r="J182" s="2686"/>
      <c r="K182" s="2686"/>
      <c r="L182" s="2687"/>
      <c r="M182" s="2686"/>
      <c r="N182" s="2686"/>
      <c r="O182" s="2687"/>
      <c r="P182" s="2686"/>
      <c r="Q182" s="2686"/>
      <c r="R182" s="2688"/>
    </row>
    <row r="183" spans="1:18" s="906" customFormat="1">
      <c r="B183" s="2686"/>
      <c r="C183" s="2686"/>
      <c r="D183" s="2686"/>
      <c r="E183" s="2686"/>
      <c r="F183" s="2686"/>
      <c r="G183" s="2687"/>
      <c r="H183" s="2686"/>
      <c r="I183" s="2687"/>
      <c r="J183" s="2686"/>
      <c r="K183" s="2686"/>
      <c r="L183" s="2687"/>
      <c r="M183" s="2686"/>
      <c r="N183" s="2686"/>
      <c r="O183" s="2687"/>
      <c r="P183" s="2686"/>
      <c r="Q183" s="2686"/>
      <c r="R183" s="2688"/>
    </row>
    <row r="184" spans="1:18" s="906" customFormat="1">
      <c r="B184" s="2686"/>
      <c r="C184" s="2686"/>
      <c r="D184" s="2686"/>
      <c r="E184" s="2686"/>
      <c r="F184" s="2686"/>
      <c r="G184" s="2687"/>
      <c r="H184" s="2686"/>
      <c r="I184" s="2687"/>
      <c r="J184" s="2686"/>
      <c r="K184" s="2686"/>
      <c r="L184" s="2687"/>
      <c r="M184" s="2686"/>
      <c r="N184" s="2686"/>
      <c r="O184" s="2687"/>
      <c r="P184" s="2686"/>
      <c r="Q184" s="2686"/>
      <c r="R184" s="2688"/>
    </row>
    <row r="185" spans="1:18" s="906"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6"/>
      <c r="B186" s="2686"/>
      <c r="C186" s="2686"/>
      <c r="E186" s="2686"/>
      <c r="F186" s="2686"/>
      <c r="G186" s="2687"/>
    </row>
    <row r="187" spans="1:18">
      <c r="A187" s="906"/>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0"/>
  <sheetViews>
    <sheetView workbookViewId="0">
      <selection activeCell="I23" sqref="I23"/>
    </sheetView>
  </sheetViews>
  <sheetFormatPr defaultColWidth="11.875" defaultRowHeight="16.5"/>
  <cols>
    <col min="1" max="1" width="15.625" style="3241" customWidth="1"/>
    <col min="2" max="2" width="10.5" style="3241" customWidth="1"/>
    <col min="3" max="3" width="9.875" style="3241" customWidth="1"/>
    <col min="4" max="4" width="11.5" style="3241" customWidth="1"/>
    <col min="5" max="5" width="9.375" style="3241" customWidth="1"/>
    <col min="6" max="6" width="10.75" style="3241" customWidth="1"/>
    <col min="7" max="7" width="10.25" style="3241" customWidth="1"/>
    <col min="8" max="8" width="10.125" style="3241" customWidth="1"/>
    <col min="9" max="9" width="11.75" style="3241" customWidth="1"/>
    <col min="10" max="10" width="10.5" style="3241" customWidth="1"/>
    <col min="11" max="11" width="9" style="3241" customWidth="1"/>
    <col min="12" max="12" width="8.75" style="3241" customWidth="1"/>
    <col min="13" max="13" width="9.375" style="3241" customWidth="1"/>
    <col min="14" max="14" width="10" style="3241" customWidth="1"/>
    <col min="15" max="15" width="9.25" style="3241" customWidth="1"/>
    <col min="16" max="16" width="4.375" style="3241" customWidth="1"/>
    <col min="17" max="17" width="9.625" style="3241" customWidth="1"/>
    <col min="18" max="18" width="21.875" style="3241" customWidth="1"/>
    <col min="19" max="19" width="9.75" style="3241" customWidth="1"/>
    <col min="20" max="16384" width="11.875" style="3241"/>
  </cols>
  <sheetData>
    <row r="1" spans="1:19">
      <c r="A1" s="3240" t="s">
        <v>3190</v>
      </c>
      <c r="B1" s="3240">
        <v>25000</v>
      </c>
      <c r="C1" s="3240" t="s">
        <v>3191</v>
      </c>
      <c r="D1" s="3240">
        <v>6265.27</v>
      </c>
      <c r="E1" s="3240" t="s">
        <v>3192</v>
      </c>
      <c r="F1" s="3240">
        <v>18734.726999999999</v>
      </c>
      <c r="N1" s="3240" t="s">
        <v>3193</v>
      </c>
      <c r="O1" s="3240">
        <f>C19/B1</f>
        <v>1.9288400000000001</v>
      </c>
    </row>
    <row r="2" spans="1:19">
      <c r="A2" s="3354" t="s">
        <v>3194</v>
      </c>
      <c r="B2" s="3354" t="s">
        <v>3195</v>
      </c>
      <c r="C2" s="3354" t="s">
        <v>3196</v>
      </c>
      <c r="D2" s="3354" t="s">
        <v>3197</v>
      </c>
      <c r="E2" s="3354"/>
      <c r="F2" s="3354"/>
      <c r="G2" s="3354" t="s">
        <v>3198</v>
      </c>
      <c r="H2" s="3354" t="s">
        <v>3197</v>
      </c>
      <c r="I2" s="3354"/>
      <c r="J2" s="3354"/>
      <c r="K2" s="3354"/>
      <c r="L2" s="3354"/>
      <c r="M2" s="3354"/>
      <c r="N2" s="3352" t="s">
        <v>3199</v>
      </c>
      <c r="O2" s="3353"/>
      <c r="Q2" s="3241" t="s">
        <v>3191</v>
      </c>
      <c r="R2" s="3241">
        <v>21322.98</v>
      </c>
    </row>
    <row r="3" spans="1:19" ht="45">
      <c r="A3" s="3354"/>
      <c r="B3" s="3354"/>
      <c r="C3" s="3354"/>
      <c r="D3" s="3242" t="s">
        <v>3200</v>
      </c>
      <c r="E3" s="3242" t="s">
        <v>3201</v>
      </c>
      <c r="F3" s="3242" t="s">
        <v>3202</v>
      </c>
      <c r="G3" s="3354"/>
      <c r="H3" s="3242" t="s">
        <v>3203</v>
      </c>
      <c r="I3" s="3242" t="s">
        <v>3204</v>
      </c>
      <c r="J3" s="3242" t="s">
        <v>3205</v>
      </c>
      <c r="K3" s="3242" t="s">
        <v>3201</v>
      </c>
      <c r="L3" s="3242" t="s">
        <v>3206</v>
      </c>
      <c r="M3" s="3242" t="s">
        <v>3207</v>
      </c>
      <c r="N3" s="3243" t="s">
        <v>3208</v>
      </c>
      <c r="O3" s="3243" t="s">
        <v>3209</v>
      </c>
      <c r="Q3" s="3241" t="s">
        <v>3210</v>
      </c>
      <c r="R3" s="3241" t="s">
        <v>3211</v>
      </c>
      <c r="S3" s="3241">
        <v>20</v>
      </c>
    </row>
    <row r="4" spans="1:19" hidden="1">
      <c r="A4" s="3242" t="s">
        <v>3212</v>
      </c>
      <c r="B4" s="3244">
        <v>4637.1099999999997</v>
      </c>
      <c r="C4" s="3245">
        <v>3238.3</v>
      </c>
      <c r="D4" s="3246">
        <v>3238.3</v>
      </c>
      <c r="E4" s="3246" t="s">
        <v>3213</v>
      </c>
      <c r="F4" s="3246" t="s">
        <v>3213</v>
      </c>
      <c r="G4" s="3245">
        <v>1398.81</v>
      </c>
      <c r="H4" s="3246" t="s">
        <v>3213</v>
      </c>
      <c r="I4" s="3246" t="s">
        <v>3213</v>
      </c>
      <c r="J4" s="3247">
        <v>606.71</v>
      </c>
      <c r="K4" s="3246" t="s">
        <v>3213</v>
      </c>
      <c r="L4" s="3246">
        <v>491</v>
      </c>
      <c r="M4" s="3246">
        <v>301.10000000000002</v>
      </c>
      <c r="N4" s="3246" t="s">
        <v>3213</v>
      </c>
      <c r="O4" s="3246" t="s">
        <v>3213</v>
      </c>
      <c r="R4" s="3241" t="s">
        <v>3214</v>
      </c>
      <c r="S4" s="3241">
        <v>437.8</v>
      </c>
    </row>
    <row r="5" spans="1:19" hidden="1">
      <c r="A5" s="3242" t="s">
        <v>3215</v>
      </c>
      <c r="B5" s="3244">
        <v>4527.5600000000004</v>
      </c>
      <c r="C5" s="3245">
        <v>3190.8</v>
      </c>
      <c r="D5" s="3246">
        <v>3190.8</v>
      </c>
      <c r="E5" s="3246" t="s">
        <v>3213</v>
      </c>
      <c r="F5" s="3246" t="s">
        <v>3213</v>
      </c>
      <c r="G5" s="3245">
        <v>1336.76</v>
      </c>
      <c r="H5" s="3246" t="s">
        <v>3213</v>
      </c>
      <c r="I5" s="3246" t="s">
        <v>3213</v>
      </c>
      <c r="J5" s="3247">
        <v>1146.69</v>
      </c>
      <c r="K5" s="3246" t="s">
        <v>3213</v>
      </c>
      <c r="L5" s="3246" t="s">
        <v>3213</v>
      </c>
      <c r="M5" s="3246">
        <v>190.07</v>
      </c>
      <c r="N5" s="3246" t="s">
        <v>3213</v>
      </c>
      <c r="O5" s="3246" t="s">
        <v>3213</v>
      </c>
      <c r="Q5" s="3241" t="s">
        <v>3216</v>
      </c>
      <c r="S5" s="3241">
        <f>S3+S4</f>
        <v>457.8</v>
      </c>
    </row>
    <row r="6" spans="1:19" ht="33" hidden="1">
      <c r="A6" s="3242" t="s">
        <v>3217</v>
      </c>
      <c r="B6" s="3244">
        <v>6905.88</v>
      </c>
      <c r="C6" s="3245">
        <v>4841.55</v>
      </c>
      <c r="D6" s="3246">
        <v>4841.55</v>
      </c>
      <c r="E6" s="3246" t="s">
        <v>3213</v>
      </c>
      <c r="F6" s="3246" t="s">
        <v>3213</v>
      </c>
      <c r="G6" s="3245">
        <v>2064.33</v>
      </c>
      <c r="H6" s="3246" t="s">
        <v>3213</v>
      </c>
      <c r="I6" s="3246" t="s">
        <v>3213</v>
      </c>
      <c r="J6" s="3247">
        <v>915.12</v>
      </c>
      <c r="K6" s="3246" t="s">
        <v>3213</v>
      </c>
      <c r="L6" s="3246">
        <v>769</v>
      </c>
      <c r="M6" s="3246">
        <v>380.21</v>
      </c>
      <c r="N6" s="3246" t="s">
        <v>3213</v>
      </c>
      <c r="O6" s="3246" t="s">
        <v>3213</v>
      </c>
      <c r="Q6" s="3241" t="s">
        <v>3218</v>
      </c>
      <c r="R6" s="3241" t="s">
        <v>3219</v>
      </c>
      <c r="S6" s="3241">
        <v>50</v>
      </c>
    </row>
    <row r="7" spans="1:19" hidden="1">
      <c r="A7" s="3242" t="s">
        <v>3220</v>
      </c>
      <c r="B7" s="3244">
        <v>6614.99</v>
      </c>
      <c r="C7" s="3245">
        <v>5030.88</v>
      </c>
      <c r="D7" s="3246">
        <v>5030.88</v>
      </c>
      <c r="E7" s="3246" t="s">
        <v>3213</v>
      </c>
      <c r="F7" s="3246" t="s">
        <v>3213</v>
      </c>
      <c r="G7" s="3245">
        <v>1584.11</v>
      </c>
      <c r="H7" s="3246" t="s">
        <v>3213</v>
      </c>
      <c r="I7" s="3246" t="s">
        <v>3213</v>
      </c>
      <c r="J7" s="3247">
        <v>1285.22</v>
      </c>
      <c r="K7" s="3247">
        <v>86</v>
      </c>
      <c r="L7" s="3246" t="s">
        <v>3213</v>
      </c>
      <c r="M7" s="3246">
        <v>212.89</v>
      </c>
      <c r="N7" s="3246" t="s">
        <v>3213</v>
      </c>
      <c r="O7" s="3246" t="s">
        <v>3213</v>
      </c>
      <c r="R7" s="3241" t="s">
        <v>3221</v>
      </c>
      <c r="S7" s="3241">
        <v>9034.9699999999993</v>
      </c>
    </row>
    <row r="8" spans="1:19" hidden="1">
      <c r="A8" s="3242" t="s">
        <v>3222</v>
      </c>
      <c r="B8" s="3244">
        <v>13855.56</v>
      </c>
      <c r="C8" s="3245">
        <v>11302.98</v>
      </c>
      <c r="D8" s="3246">
        <v>11302.98</v>
      </c>
      <c r="E8" s="3246" t="s">
        <v>3213</v>
      </c>
      <c r="F8" s="3246" t="s">
        <v>3213</v>
      </c>
      <c r="G8" s="3245">
        <v>2552.58</v>
      </c>
      <c r="H8" s="3246" t="s">
        <v>3213</v>
      </c>
      <c r="I8" s="3246" t="s">
        <v>3213</v>
      </c>
      <c r="J8" s="3247">
        <v>2092.15</v>
      </c>
      <c r="K8" s="3246" t="s">
        <v>3213</v>
      </c>
      <c r="L8" s="3246" t="s">
        <v>3213</v>
      </c>
      <c r="M8" s="3246">
        <v>460.43</v>
      </c>
      <c r="N8" s="3246" t="s">
        <v>3213</v>
      </c>
      <c r="O8" s="3246" t="s">
        <v>3213</v>
      </c>
      <c r="R8" s="3241" t="s">
        <v>3223</v>
      </c>
      <c r="S8" s="3241">
        <v>11780.21</v>
      </c>
    </row>
    <row r="9" spans="1:19" hidden="1">
      <c r="A9" s="3242" t="s">
        <v>3224</v>
      </c>
      <c r="B9" s="3244">
        <v>11756.09</v>
      </c>
      <c r="C9" s="3245">
        <v>9939.19</v>
      </c>
      <c r="D9" s="3246">
        <v>9939.19</v>
      </c>
      <c r="E9" s="3246" t="s">
        <v>3213</v>
      </c>
      <c r="F9" s="3246" t="s">
        <v>3213</v>
      </c>
      <c r="G9" s="3245">
        <v>1816.9</v>
      </c>
      <c r="H9" s="3246" t="s">
        <v>3213</v>
      </c>
      <c r="I9" s="3246" t="s">
        <v>3213</v>
      </c>
      <c r="J9" s="3247">
        <v>1494.54</v>
      </c>
      <c r="K9" s="3246" t="s">
        <v>3213</v>
      </c>
      <c r="L9" s="3246" t="s">
        <v>3213</v>
      </c>
      <c r="M9" s="3246">
        <v>322.36</v>
      </c>
      <c r="N9" s="3246" t="s">
        <v>3213</v>
      </c>
      <c r="O9" s="3246" t="s">
        <v>3213</v>
      </c>
      <c r="Q9" s="3241" t="s">
        <v>3216</v>
      </c>
      <c r="S9" s="3241">
        <f>S6+S7+S8</f>
        <v>20865.18</v>
      </c>
    </row>
    <row r="10" spans="1:19" hidden="1">
      <c r="A10" s="3242" t="s">
        <v>3225</v>
      </c>
      <c r="B10" s="3244">
        <v>11750.98</v>
      </c>
      <c r="C10" s="3245">
        <v>9933.65</v>
      </c>
      <c r="D10" s="3246">
        <v>9918.15</v>
      </c>
      <c r="E10" s="3246" t="s">
        <v>3213</v>
      </c>
      <c r="F10" s="3246">
        <v>15.5</v>
      </c>
      <c r="G10" s="3245">
        <v>1817.33</v>
      </c>
      <c r="H10" s="3246" t="s">
        <v>3213</v>
      </c>
      <c r="I10" s="3246" t="s">
        <v>3213</v>
      </c>
      <c r="J10" s="3247">
        <v>1494.54</v>
      </c>
      <c r="K10" s="3246" t="s">
        <v>3213</v>
      </c>
      <c r="L10" s="3246" t="s">
        <v>3213</v>
      </c>
      <c r="M10" s="3246">
        <v>322.79000000000002</v>
      </c>
      <c r="N10" s="3246" t="s">
        <v>3213</v>
      </c>
      <c r="O10" s="3246" t="s">
        <v>3213</v>
      </c>
      <c r="Q10" s="3241" t="s">
        <v>3226</v>
      </c>
      <c r="S10" s="3241">
        <f>S5+S9</f>
        <v>21322.98</v>
      </c>
    </row>
    <row r="11" spans="1:19" hidden="1">
      <c r="A11" s="3242" t="s">
        <v>3227</v>
      </c>
      <c r="B11" s="3244">
        <v>120</v>
      </c>
      <c r="C11" s="3245">
        <v>120</v>
      </c>
      <c r="D11" s="3246" t="s">
        <v>3213</v>
      </c>
      <c r="E11" s="3247">
        <v>120</v>
      </c>
      <c r="F11" s="3246" t="s">
        <v>3213</v>
      </c>
      <c r="G11" s="3245">
        <v>0</v>
      </c>
      <c r="H11" s="3246" t="s">
        <v>3213</v>
      </c>
      <c r="I11" s="3246" t="s">
        <v>3213</v>
      </c>
      <c r="J11" s="3246" t="s">
        <v>3213</v>
      </c>
      <c r="K11" s="3246" t="s">
        <v>3213</v>
      </c>
      <c r="L11" s="3246" t="s">
        <v>3213</v>
      </c>
      <c r="M11" s="3246" t="s">
        <v>3213</v>
      </c>
      <c r="N11" s="3246" t="s">
        <v>3213</v>
      </c>
      <c r="O11" s="3246" t="s">
        <v>3213</v>
      </c>
    </row>
    <row r="12" spans="1:19" hidden="1">
      <c r="A12" s="3242" t="s">
        <v>3228</v>
      </c>
      <c r="B12" s="3244">
        <v>40</v>
      </c>
      <c r="C12" s="3245">
        <v>40</v>
      </c>
      <c r="D12" s="3246" t="s">
        <v>3213</v>
      </c>
      <c r="E12" s="3246" t="s">
        <v>3213</v>
      </c>
      <c r="F12" s="3246">
        <v>40</v>
      </c>
      <c r="G12" s="3245">
        <v>0</v>
      </c>
      <c r="H12" s="3246" t="s">
        <v>3213</v>
      </c>
      <c r="I12" s="3246" t="s">
        <v>3213</v>
      </c>
      <c r="J12" s="3246" t="s">
        <v>3213</v>
      </c>
      <c r="K12" s="3246" t="s">
        <v>3213</v>
      </c>
      <c r="L12" s="3246" t="s">
        <v>3213</v>
      </c>
      <c r="M12" s="3246" t="s">
        <v>3213</v>
      </c>
      <c r="N12" s="3246" t="s">
        <v>3213</v>
      </c>
      <c r="O12" s="3246" t="s">
        <v>3213</v>
      </c>
    </row>
    <row r="13" spans="1:19" hidden="1">
      <c r="A13" s="3242" t="s">
        <v>3229</v>
      </c>
      <c r="B13" s="3244">
        <v>40</v>
      </c>
      <c r="C13" s="3245">
        <v>40</v>
      </c>
      <c r="D13" s="3246" t="s">
        <v>3213</v>
      </c>
      <c r="E13" s="3246" t="s">
        <v>3213</v>
      </c>
      <c r="F13" s="3246">
        <v>40</v>
      </c>
      <c r="G13" s="3245">
        <v>0</v>
      </c>
      <c r="H13" s="3246" t="s">
        <v>3213</v>
      </c>
      <c r="I13" s="3246" t="s">
        <v>3213</v>
      </c>
      <c r="J13" s="3246" t="s">
        <v>3213</v>
      </c>
      <c r="K13" s="3246" t="s">
        <v>3213</v>
      </c>
      <c r="L13" s="3246" t="s">
        <v>3213</v>
      </c>
      <c r="M13" s="3246" t="s">
        <v>3213</v>
      </c>
      <c r="N13" s="3246" t="s">
        <v>3213</v>
      </c>
      <c r="O13" s="3246" t="s">
        <v>3213</v>
      </c>
    </row>
    <row r="14" spans="1:19" hidden="1">
      <c r="A14" s="3242" t="s">
        <v>3230</v>
      </c>
      <c r="B14" s="3244">
        <v>40</v>
      </c>
      <c r="C14" s="3245">
        <v>40</v>
      </c>
      <c r="D14" s="3246" t="s">
        <v>3213</v>
      </c>
      <c r="E14" s="3246" t="s">
        <v>3213</v>
      </c>
      <c r="F14" s="3246">
        <v>40</v>
      </c>
      <c r="G14" s="3245">
        <v>0</v>
      </c>
      <c r="H14" s="3246" t="s">
        <v>3213</v>
      </c>
      <c r="I14" s="3246" t="s">
        <v>3213</v>
      </c>
      <c r="J14" s="3246" t="s">
        <v>3213</v>
      </c>
      <c r="K14" s="3246" t="s">
        <v>3213</v>
      </c>
      <c r="L14" s="3246" t="s">
        <v>3213</v>
      </c>
      <c r="M14" s="3246" t="s">
        <v>3213</v>
      </c>
      <c r="N14" s="3246" t="s">
        <v>3213</v>
      </c>
      <c r="O14" s="3246" t="s">
        <v>3213</v>
      </c>
    </row>
    <row r="15" spans="1:19" hidden="1">
      <c r="A15" s="3242" t="s">
        <v>3231</v>
      </c>
      <c r="B15" s="3244">
        <v>24629.98</v>
      </c>
      <c r="C15" s="3245">
        <v>337.8</v>
      </c>
      <c r="D15" s="3246" t="s">
        <v>3213</v>
      </c>
      <c r="E15" s="3246" t="s">
        <v>3213</v>
      </c>
      <c r="F15" s="3247">
        <v>337.8</v>
      </c>
      <c r="G15" s="3245">
        <v>24292.18</v>
      </c>
      <c r="H15" s="3247">
        <v>11780.21</v>
      </c>
      <c r="I15" s="3246">
        <v>11891.97</v>
      </c>
      <c r="J15" s="3246" t="s">
        <v>3213</v>
      </c>
      <c r="K15" s="3246">
        <v>620</v>
      </c>
      <c r="L15" s="3246" t="s">
        <v>3213</v>
      </c>
      <c r="M15" s="3246" t="s">
        <v>3213</v>
      </c>
      <c r="N15" s="3246">
        <v>12073.32</v>
      </c>
      <c r="O15" s="3246">
        <v>181.35</v>
      </c>
      <c r="Q15" s="3241">
        <f>L19+M19+K19-50+F19-F15</f>
        <v>4407.2</v>
      </c>
    </row>
    <row r="16" spans="1:19" ht="30" hidden="1">
      <c r="A16" s="3242" t="s">
        <v>3232</v>
      </c>
      <c r="B16" s="3244">
        <v>65.45</v>
      </c>
      <c r="C16" s="3245">
        <v>65.45</v>
      </c>
      <c r="D16" s="3246" t="s">
        <v>3213</v>
      </c>
      <c r="E16" s="3246" t="s">
        <v>3213</v>
      </c>
      <c r="F16" s="3246">
        <v>65.45</v>
      </c>
      <c r="G16" s="3245" t="s">
        <v>3213</v>
      </c>
      <c r="H16" s="3246" t="s">
        <v>3213</v>
      </c>
      <c r="I16" s="3246" t="s">
        <v>3213</v>
      </c>
      <c r="J16" s="3246" t="s">
        <v>3213</v>
      </c>
      <c r="K16" s="3246" t="s">
        <v>3213</v>
      </c>
      <c r="L16" s="3246" t="s">
        <v>3213</v>
      </c>
      <c r="M16" s="3246" t="s">
        <v>3213</v>
      </c>
      <c r="N16" s="3246" t="s">
        <v>3213</v>
      </c>
      <c r="O16" s="3246" t="s">
        <v>3213</v>
      </c>
    </row>
    <row r="17" spans="1:15" ht="30" hidden="1">
      <c r="A17" s="3242" t="s">
        <v>3233</v>
      </c>
      <c r="B17" s="3244">
        <v>65.45</v>
      </c>
      <c r="C17" s="3245">
        <v>65.45</v>
      </c>
      <c r="D17" s="3246" t="s">
        <v>3213</v>
      </c>
      <c r="E17" s="3246" t="s">
        <v>3213</v>
      </c>
      <c r="F17" s="3246">
        <v>65.45</v>
      </c>
      <c r="G17" s="3245" t="s">
        <v>3213</v>
      </c>
      <c r="H17" s="3246" t="s">
        <v>3213</v>
      </c>
      <c r="I17" s="3246" t="s">
        <v>3213</v>
      </c>
      <c r="J17" s="3246" t="s">
        <v>3213</v>
      </c>
      <c r="K17" s="3246" t="s">
        <v>3213</v>
      </c>
      <c r="L17" s="3246" t="s">
        <v>3213</v>
      </c>
      <c r="M17" s="3246" t="s">
        <v>3213</v>
      </c>
      <c r="N17" s="3246" t="s">
        <v>3213</v>
      </c>
      <c r="O17" s="3246" t="s">
        <v>3213</v>
      </c>
    </row>
    <row r="18" spans="1:15" ht="30">
      <c r="A18" s="3242" t="s">
        <v>3234</v>
      </c>
      <c r="B18" s="3244">
        <v>34.950000000000003</v>
      </c>
      <c r="C18" s="3245">
        <v>34.950000000000003</v>
      </c>
      <c r="D18" s="3246" t="s">
        <v>3213</v>
      </c>
      <c r="E18" s="3246" t="s">
        <v>3213</v>
      </c>
      <c r="F18" s="3246">
        <v>34.950000000000003</v>
      </c>
      <c r="G18" s="3245" t="s">
        <v>3213</v>
      </c>
      <c r="H18" s="3246" t="s">
        <v>3213</v>
      </c>
      <c r="I18" s="3246" t="s">
        <v>3213</v>
      </c>
      <c r="J18" s="3246" t="s">
        <v>3213</v>
      </c>
      <c r="K18" s="3246" t="s">
        <v>3213</v>
      </c>
      <c r="L18" s="3246" t="s">
        <v>3213</v>
      </c>
      <c r="M18" s="3246" t="s">
        <v>3213</v>
      </c>
      <c r="N18" s="3246" t="s">
        <v>3213</v>
      </c>
      <c r="O18" s="3246" t="s">
        <v>3213</v>
      </c>
    </row>
    <row r="19" spans="1:15">
      <c r="A19" s="3242" t="s">
        <v>3235</v>
      </c>
      <c r="B19" s="3243">
        <f>SUM(B4:B18)</f>
        <v>85083.999999999985</v>
      </c>
      <c r="C19" s="3242">
        <f>SUM(C4:C18)</f>
        <v>48221</v>
      </c>
      <c r="D19" s="3242">
        <f t="shared" ref="D19:O19" si="0">SUM(D4:D18)</f>
        <v>47461.850000000006</v>
      </c>
      <c r="E19" s="3242">
        <f t="shared" si="0"/>
        <v>120</v>
      </c>
      <c r="F19" s="3242">
        <f t="shared" si="0"/>
        <v>639.15000000000009</v>
      </c>
      <c r="G19" s="3242">
        <f t="shared" si="0"/>
        <v>36863</v>
      </c>
      <c r="H19" s="3242">
        <f t="shared" si="0"/>
        <v>11780.21</v>
      </c>
      <c r="I19" s="3242">
        <f t="shared" si="0"/>
        <v>11891.97</v>
      </c>
      <c r="J19" s="3242">
        <f t="shared" si="0"/>
        <v>9034.9699999999993</v>
      </c>
      <c r="K19" s="3242">
        <f t="shared" si="0"/>
        <v>706</v>
      </c>
      <c r="L19" s="3242">
        <f t="shared" si="0"/>
        <v>1260</v>
      </c>
      <c r="M19" s="3242">
        <f t="shared" si="0"/>
        <v>2189.85</v>
      </c>
      <c r="N19" s="3243">
        <f t="shared" si="0"/>
        <v>12073.32</v>
      </c>
      <c r="O19" s="3243">
        <f t="shared" si="0"/>
        <v>181.35</v>
      </c>
    </row>
    <row r="20" spans="1:15">
      <c r="B20" s="3241">
        <f>B19-S5-S9</f>
        <v>63761.019999999982</v>
      </c>
      <c r="H20" s="3241">
        <f>H15/272</f>
        <v>43.30959558823529</v>
      </c>
      <c r="I20" s="3241">
        <f>I15/274</f>
        <v>43.401350364963498</v>
      </c>
      <c r="J20" s="3241">
        <f>J19/470</f>
        <v>19.223340425531912</v>
      </c>
      <c r="N20" s="3241">
        <f>N19-O19</f>
        <v>11891.97</v>
      </c>
    </row>
  </sheetData>
  <mergeCells count="7">
    <mergeCell ref="N2:O2"/>
    <mergeCell ref="A2:A3"/>
    <mergeCell ref="B2:B3"/>
    <mergeCell ref="C2:C3"/>
    <mergeCell ref="D2:F2"/>
    <mergeCell ref="G2:G3"/>
    <mergeCell ref="H2:M2"/>
  </mergeCells>
  <phoneticPr fontId="140" type="noConversion"/>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B1:K9"/>
  <sheetViews>
    <sheetView tabSelected="1" topLeftCell="B1" workbookViewId="0">
      <selection activeCell="H12" sqref="H12"/>
    </sheetView>
  </sheetViews>
  <sheetFormatPr defaultRowHeight="13.5"/>
  <cols>
    <col min="1" max="2" width="9" style="3254"/>
    <col min="3" max="3" width="10.25" style="3254" customWidth="1"/>
    <col min="4" max="4" width="6.625" style="3254" customWidth="1"/>
    <col min="5" max="5" width="9.875" style="3254" customWidth="1"/>
    <col min="6" max="6" width="10.625" style="3254" customWidth="1"/>
    <col min="7" max="7" width="10" style="3254" customWidth="1"/>
    <col min="8" max="8" width="13.25" style="3254" customWidth="1"/>
    <col min="9" max="9" width="14.5" style="3254" customWidth="1"/>
    <col min="10" max="16384" width="9" style="3254"/>
  </cols>
  <sheetData>
    <row r="1" spans="2:11" ht="40.5">
      <c r="B1" s="3255"/>
      <c r="C1" s="3256" t="s">
        <v>3268</v>
      </c>
      <c r="D1" s="3256" t="s">
        <v>3269</v>
      </c>
      <c r="E1" s="3256" t="s">
        <v>3270</v>
      </c>
      <c r="F1" s="3256" t="s">
        <v>3271</v>
      </c>
      <c r="G1" s="3256" t="s">
        <v>3272</v>
      </c>
      <c r="H1" s="3256" t="s">
        <v>3267</v>
      </c>
    </row>
    <row r="2" spans="2:11">
      <c r="B2" s="3256" t="s">
        <v>3265</v>
      </c>
      <c r="C2" s="3255">
        <f>面积表!H19</f>
        <v>11780.21</v>
      </c>
      <c r="D2" s="3255">
        <v>272</v>
      </c>
      <c r="E2" s="3255">
        <f>ROUND(C2/D2,2)</f>
        <v>43.31</v>
      </c>
      <c r="F2" s="3255">
        <f ca="1">'结果表-车位'!G20</f>
        <v>6122</v>
      </c>
      <c r="G2" s="3257">
        <f ca="1">ROUND(E2*F2/10000,4)</f>
        <v>26.514399999999998</v>
      </c>
      <c r="H2" s="3255">
        <f ca="1">ROUND(C2*F2/10000,0)</f>
        <v>7212</v>
      </c>
    </row>
    <row r="3" spans="2:11">
      <c r="B3" s="3256" t="s">
        <v>3266</v>
      </c>
      <c r="C3" s="3255">
        <f>面积表!J19</f>
        <v>9034.9699999999993</v>
      </c>
      <c r="D3" s="3255">
        <v>470</v>
      </c>
      <c r="E3" s="3255">
        <f>ROUND(C3/D3,2)</f>
        <v>19.22</v>
      </c>
      <c r="F3" s="3255">
        <f ca="1">ROUND('结果表-仓储'!G20,0)</f>
        <v>8738</v>
      </c>
      <c r="G3" s="3257">
        <f ca="1">ROUND(E3*F3/10000,4)</f>
        <v>16.7944</v>
      </c>
      <c r="H3" s="3255">
        <f ca="1">ROUND(F3*C3/10000,0)</f>
        <v>7895</v>
      </c>
    </row>
    <row r="4" spans="2:11">
      <c r="B4" s="3256" t="s">
        <v>3235</v>
      </c>
      <c r="C4" s="3255">
        <f>C2+C3</f>
        <v>20815.18</v>
      </c>
      <c r="D4" s="3255">
        <f>D2+D3</f>
        <v>742</v>
      </c>
      <c r="E4" s="3255"/>
      <c r="F4" s="3255"/>
      <c r="G4" s="3255"/>
      <c r="H4" s="3255">
        <f ca="1">H2+H3</f>
        <v>15107</v>
      </c>
    </row>
    <row r="5" spans="2:11">
      <c r="G5" s="3254">
        <f ca="1">G2+G3</f>
        <v>43.308799999999998</v>
      </c>
      <c r="H5" s="3259">
        <f ca="1">H4*10000/(D3+D2)/10000</f>
        <v>20.359838274932613</v>
      </c>
    </row>
    <row r="6" spans="2:11">
      <c r="C6" s="3254">
        <f>面积表!I19</f>
        <v>11891.97</v>
      </c>
      <c r="D6" s="3254">
        <v>274</v>
      </c>
      <c r="E6" s="3254">
        <f>ROUND(C6/D6,2)</f>
        <v>43.4</v>
      </c>
      <c r="F6" s="3254">
        <f ca="1">F2</f>
        <v>6122</v>
      </c>
      <c r="G6" s="3254">
        <f ca="1">ROUND(E6*F6/10000,4)</f>
        <v>26.569500000000001</v>
      </c>
      <c r="H6" s="3254">
        <f ca="1">ROUND(C6*F6/10000,0)</f>
        <v>7280</v>
      </c>
    </row>
    <row r="7" spans="2:11">
      <c r="D7" s="3254">
        <f>D2+D3+D6</f>
        <v>1016</v>
      </c>
      <c r="H7" s="3254">
        <f ca="1">(H2+H3+H6)/D7</f>
        <v>22.034448818897637</v>
      </c>
    </row>
    <row r="9" spans="2:11">
      <c r="K9" s="3258" t="s">
        <v>3274</v>
      </c>
    </row>
  </sheetData>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5">
    <tabColor rgb="FF92D050"/>
    <pageSetUpPr fitToPage="1"/>
  </sheetPr>
  <dimension ref="A1:AC103"/>
  <sheetViews>
    <sheetView view="pageBreakPreview" topLeftCell="A14" zoomScale="90" zoomScaleNormal="60" zoomScaleSheetLayoutView="90" workbookViewId="0">
      <selection activeCell="F43" sqref="F43"/>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t="s">
        <v>3136</v>
      </c>
      <c r="C1" s="1363" t="s">
        <v>2291</v>
      </c>
      <c r="D1" s="1364" t="s">
        <v>3136</v>
      </c>
      <c r="E1" s="1365"/>
      <c r="F1" s="2034" t="s">
        <v>3148</v>
      </c>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19.5" customHeight="1" thickTop="1">
      <c r="A2" s="1360" t="s">
        <v>2088</v>
      </c>
      <c r="B2" s="1297">
        <f>IF(C2="——",IF(B37="元/平方米",ROUND(C39*D3/10000,0),ROUND(F3*C39/10000,0)),IF(B37="元/平方米",ROUND(C39*D3/10000,0),ROUND(F3*C39/10000,0))-D2)</f>
        <v>9667</v>
      </c>
      <c r="C2" s="2036" t="s">
        <v>70</v>
      </c>
      <c r="D2" s="1037" t="e">
        <f ca="1">SUMIF(INDIRECT("'"&amp;F2&amp;"'"&amp;"!A:A"),"承租人权益价值",INDIRECT("'"&amp;F2&amp;"'"&amp;"!c:c"))</f>
        <v>#REF!</v>
      </c>
      <c r="E2" s="2037" t="s">
        <v>2089</v>
      </c>
      <c r="F2" s="2038" t="s">
        <v>3141</v>
      </c>
      <c r="G2" s="1038"/>
      <c r="H2" s="1038"/>
      <c r="I2" s="1038"/>
      <c r="J2" s="1038"/>
      <c r="K2" s="1040"/>
      <c r="L2" s="2932"/>
      <c r="M2" s="2933"/>
      <c r="N2" s="2933"/>
      <c r="O2" s="2933"/>
      <c r="P2" s="1298"/>
      <c r="Q2" s="707"/>
      <c r="R2" s="707"/>
      <c r="S2" s="707"/>
      <c r="T2" s="707"/>
      <c r="U2" s="707"/>
      <c r="V2" s="707"/>
      <c r="W2" s="707"/>
      <c r="X2" s="707"/>
      <c r="Y2" s="707"/>
      <c r="Z2" s="707"/>
      <c r="AA2" s="707"/>
      <c r="AB2" s="707"/>
      <c r="AC2" s="708"/>
    </row>
    <row r="3" spans="1:29" s="357" customFormat="1" ht="18.75" customHeight="1" thickBot="1">
      <c r="A3" s="208" t="s">
        <v>2090</v>
      </c>
      <c r="B3" s="565">
        <f>IF(AND(C2="——",B37="元/平方米"),C39,ROUND(B2*10000/D3,0))</f>
        <v>8206</v>
      </c>
      <c r="C3" s="359" t="s">
        <v>2405</v>
      </c>
      <c r="D3" s="358">
        <f>SUMIF('数据-汇总表'!$C19:$C33,D1,'数据-汇总表'!$E19:$E33)</f>
        <v>11780.21</v>
      </c>
      <c r="E3" s="359" t="s">
        <v>2469</v>
      </c>
      <c r="F3" s="358">
        <f>SUMIF('数据-取费表'!A5:A15,D1,'数据-取费表'!AH5:AH15)</f>
        <v>272</v>
      </c>
      <c r="G3" s="1038"/>
      <c r="H3" s="1038"/>
      <c r="I3" s="1038"/>
      <c r="J3" s="1038"/>
      <c r="K3" s="1040"/>
      <c r="L3" s="2932"/>
      <c r="M3" s="2933"/>
      <c r="N3" s="2933"/>
      <c r="O3" s="2933"/>
      <c r="P3" s="1298"/>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4.25" customHeight="1" thickBot="1">
      <c r="A5" s="363"/>
      <c r="B5" s="364"/>
      <c r="C5" s="3387" t="s">
        <v>3149</v>
      </c>
      <c r="D5" s="3388"/>
      <c r="E5" s="3395" t="s">
        <v>3152</v>
      </c>
      <c r="F5" s="3396"/>
      <c r="G5" s="3387" t="s">
        <v>3154</v>
      </c>
      <c r="H5" s="3388"/>
      <c r="I5" s="3387" t="s">
        <v>3156</v>
      </c>
      <c r="J5" s="3388"/>
      <c r="K5" s="566"/>
      <c r="L5" s="2913"/>
      <c r="M5" s="2914"/>
      <c r="N5" s="2914"/>
      <c r="O5" s="2914"/>
      <c r="P5" s="3374"/>
      <c r="Q5" s="3375"/>
      <c r="R5" s="3380"/>
      <c r="S5" s="3381"/>
      <c r="T5" s="3380"/>
      <c r="U5" s="3381"/>
      <c r="V5" s="3384"/>
      <c r="W5" s="3384"/>
      <c r="X5" s="1508"/>
      <c r="Y5" s="3380"/>
      <c r="Z5" s="3381"/>
      <c r="AA5" s="3366"/>
      <c r="AB5" s="3366"/>
      <c r="AC5" s="3366"/>
    </row>
    <row r="6" spans="1:29" ht="15.75" hidden="1" thickBot="1">
      <c r="A6" s="365"/>
      <c r="B6" s="366"/>
      <c r="C6" s="3392" t="s">
        <v>3150</v>
      </c>
      <c r="D6" s="3386"/>
      <c r="E6" s="3393" t="str">
        <f>C6</f>
        <v>西红门</v>
      </c>
      <c r="F6" s="3394"/>
      <c r="G6" s="3385" t="str">
        <f>C6</f>
        <v>西红门</v>
      </c>
      <c r="H6" s="3386"/>
      <c r="I6" s="3385" t="str">
        <f>C6</f>
        <v>西红门</v>
      </c>
      <c r="J6" s="3386"/>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v>44617</v>
      </c>
      <c r="F7" s="372">
        <f>SUMIF(48:48,YEAR(E7)&amp;"-"&amp;MONTH(E7),49:49)</f>
        <v>100</v>
      </c>
      <c r="G7" s="371">
        <v>44613</v>
      </c>
      <c r="H7" s="370">
        <f>SUMIF(48:48,YEAR(G7)&amp;"-"&amp;MONTH(G7),49:49)</f>
        <v>100</v>
      </c>
      <c r="I7" s="371">
        <v>44617</v>
      </c>
      <c r="J7" s="370">
        <f>SUMIF(48:48,YEAR(I7)&amp;"-"&amp;MONTH(I7),49:49)</f>
        <v>100</v>
      </c>
      <c r="K7" s="567"/>
      <c r="L7" s="2915"/>
      <c r="M7" s="2916"/>
      <c r="N7" s="2916"/>
      <c r="O7" s="2916"/>
      <c r="P7" s="3389" t="s">
        <v>2310</v>
      </c>
      <c r="Q7" s="3391"/>
      <c r="R7" s="709" t="s">
        <v>17</v>
      </c>
      <c r="S7" s="710">
        <f t="shared" ref="S7:S14" si="0">F7</f>
        <v>100</v>
      </c>
      <c r="T7" s="709" t="s">
        <v>17</v>
      </c>
      <c r="U7" s="710">
        <f t="shared" ref="U7:U14" si="1">H7</f>
        <v>100</v>
      </c>
      <c r="V7" s="709" t="s">
        <v>17</v>
      </c>
      <c r="W7" s="710">
        <f t="shared" ref="W7:W14" si="2">J7</f>
        <v>100</v>
      </c>
      <c r="X7" s="711"/>
      <c r="Y7" s="3389" t="s">
        <v>2310</v>
      </c>
      <c r="Z7" s="3390"/>
      <c r="AA7" s="712">
        <f>D7/F7</f>
        <v>1</v>
      </c>
      <c r="AB7" s="712">
        <f>D7/H7</f>
        <v>1</v>
      </c>
      <c r="AC7" s="712">
        <f>D7/J7</f>
        <v>1</v>
      </c>
    </row>
    <row r="8" spans="1:29" s="113" customFormat="1" ht="15.75" thickBot="1">
      <c r="A8" s="367" t="s">
        <v>2311</v>
      </c>
      <c r="B8" s="368"/>
      <c r="C8" s="373" t="s">
        <v>2413</v>
      </c>
      <c r="D8" s="370">
        <v>100</v>
      </c>
      <c r="E8" s="373" t="s">
        <v>3157</v>
      </c>
      <c r="F8" s="372">
        <f>SUMIF(51:51,E8,52:52)-SUMIF(51:51,C8,52:52)+100</f>
        <v>100</v>
      </c>
      <c r="G8" s="373" t="s">
        <v>3157</v>
      </c>
      <c r="H8" s="370">
        <f>SUMIF(51:51,G8,52:52)-SUMIF(51:51,C8,52:52)+100</f>
        <v>100</v>
      </c>
      <c r="I8" s="373" t="s">
        <v>3157</v>
      </c>
      <c r="J8" s="370">
        <f>SUMIF(51:51,I8,52:52)-SUMIF(51:51,C8,52:52)+100</f>
        <v>100</v>
      </c>
      <c r="K8" s="567"/>
      <c r="L8" s="2915"/>
      <c r="M8" s="2916"/>
      <c r="N8" s="2916"/>
      <c r="O8" s="2916"/>
      <c r="P8" s="3389" t="s">
        <v>2313</v>
      </c>
      <c r="Q8" s="3390"/>
      <c r="R8" s="709" t="s">
        <v>17</v>
      </c>
      <c r="S8" s="710">
        <f t="shared" si="0"/>
        <v>100</v>
      </c>
      <c r="T8" s="709" t="s">
        <v>17</v>
      </c>
      <c r="U8" s="710">
        <f t="shared" si="1"/>
        <v>100</v>
      </c>
      <c r="V8" s="709" t="s">
        <v>17</v>
      </c>
      <c r="W8" s="710">
        <f t="shared" si="2"/>
        <v>100</v>
      </c>
      <c r="X8" s="711"/>
      <c r="Y8" s="3389" t="s">
        <v>2313</v>
      </c>
      <c r="Z8" s="3390"/>
      <c r="AA8" s="712">
        <f t="shared" ref="AA8:AA36" si="3">D8/F8</f>
        <v>1</v>
      </c>
      <c r="AB8" s="712">
        <f t="shared" ref="AB8:AB36" si="4">D8/H8</f>
        <v>1</v>
      </c>
      <c r="AC8" s="712">
        <f t="shared" ref="AC8:AC36" si="5">D8/J8</f>
        <v>1</v>
      </c>
    </row>
    <row r="9" spans="1:29" s="113" customFormat="1">
      <c r="A9" s="64" t="s">
        <v>2314</v>
      </c>
      <c r="B9" s="595" t="s">
        <v>2315</v>
      </c>
      <c r="C9" s="3231" t="s">
        <v>3159</v>
      </c>
      <c r="D9" s="131">
        <v>100</v>
      </c>
      <c r="E9" s="378" t="s">
        <v>3158</v>
      </c>
      <c r="F9" s="131">
        <f>SUMIF(53:53,E9,54:54)-SUMIF(53:53,C9,54:54)+100</f>
        <v>100</v>
      </c>
      <c r="G9" s="378" t="s">
        <v>3158</v>
      </c>
      <c r="H9" s="131">
        <f>SUMIF(53:53,G9,54:54)-SUMIF(53:53,C9,54:54)+100</f>
        <v>100</v>
      </c>
      <c r="I9" s="378" t="s">
        <v>3158</v>
      </c>
      <c r="J9" s="131">
        <f>SUMIF(53:53,I9,54:54)-SUMIF(53:53,C9,54:54)+100</f>
        <v>100</v>
      </c>
      <c r="K9" s="567"/>
      <c r="L9" s="2915"/>
      <c r="M9" s="2916"/>
      <c r="N9" s="2916"/>
      <c r="O9" s="2916"/>
      <c r="P9" s="3355" t="s">
        <v>2316</v>
      </c>
      <c r="Q9" s="1496" t="str">
        <f t="shared" ref="Q9:Q14" si="6">B9</f>
        <v>用途</v>
      </c>
      <c r="R9" s="709" t="s">
        <v>17</v>
      </c>
      <c r="S9" s="710">
        <f t="shared" si="0"/>
        <v>100</v>
      </c>
      <c r="T9" s="709" t="s">
        <v>17</v>
      </c>
      <c r="U9" s="710">
        <f t="shared" si="1"/>
        <v>100</v>
      </c>
      <c r="V9" s="709" t="s">
        <v>17</v>
      </c>
      <c r="W9" s="710">
        <f t="shared" si="2"/>
        <v>100</v>
      </c>
      <c r="X9" s="711"/>
      <c r="Y9" s="3364" t="s">
        <v>2317</v>
      </c>
      <c r="Z9" s="55" t="str">
        <f t="shared" ref="Z9:Z14" si="7">Q9</f>
        <v>用途</v>
      </c>
      <c r="AA9" s="712">
        <f t="shared" si="3"/>
        <v>1</v>
      </c>
      <c r="AB9" s="712">
        <f t="shared" si="4"/>
        <v>1</v>
      </c>
      <c r="AC9" s="712">
        <f t="shared" si="5"/>
        <v>1</v>
      </c>
    </row>
    <row r="10" spans="1:29" s="385" customFormat="1" ht="27.75" thickBot="1">
      <c r="A10" s="596"/>
      <c r="B10" s="597" t="s">
        <v>2318</v>
      </c>
      <c r="C10" s="381" t="s">
        <v>3160</v>
      </c>
      <c r="D10" s="132">
        <v>100</v>
      </c>
      <c r="E10" s="381" t="s">
        <v>3160</v>
      </c>
      <c r="F10" s="132">
        <f>SUMIF(55:55,E10,56:56)-SUMIF(55:55,C10,56:56)+100</f>
        <v>100</v>
      </c>
      <c r="G10" s="382" t="s">
        <v>3160</v>
      </c>
      <c r="H10" s="132">
        <f>SUMIF(55:55,G10,56:56)-SUMIF(55:55,C10,56:56)+100</f>
        <v>100</v>
      </c>
      <c r="I10" s="381" t="s">
        <v>3161</v>
      </c>
      <c r="J10" s="132">
        <f>SUMIF(55:55,I10,56:56)-SUMIF(55:55,C10,56:56)+100</f>
        <v>98</v>
      </c>
      <c r="K10" s="568">
        <v>2</v>
      </c>
      <c r="L10" s="2917"/>
      <c r="M10" s="2918"/>
      <c r="N10" s="2918"/>
      <c r="O10" s="2918"/>
      <c r="P10" s="3355"/>
      <c r="Q10" s="1496" t="str">
        <f t="shared" si="6"/>
        <v>土地使用年限（年）</v>
      </c>
      <c r="R10" s="709" t="s">
        <v>17</v>
      </c>
      <c r="S10" s="710">
        <f t="shared" si="0"/>
        <v>100</v>
      </c>
      <c r="T10" s="709" t="s">
        <v>17</v>
      </c>
      <c r="U10" s="710">
        <f t="shared" si="1"/>
        <v>100</v>
      </c>
      <c r="V10" s="709" t="s">
        <v>17</v>
      </c>
      <c r="W10" s="710">
        <f t="shared" si="2"/>
        <v>98</v>
      </c>
      <c r="X10" s="711"/>
      <c r="Y10" s="3364"/>
      <c r="Z10" s="55" t="str">
        <f t="shared" si="7"/>
        <v>土地使用年限（年）</v>
      </c>
      <c r="AA10" s="712">
        <f t="shared" si="3"/>
        <v>1</v>
      </c>
      <c r="AB10" s="712">
        <f t="shared" si="4"/>
        <v>1</v>
      </c>
      <c r="AC10" s="712">
        <f t="shared" si="5"/>
        <v>1.0204081632653061</v>
      </c>
    </row>
    <row r="11" spans="1:29" ht="15" hidden="1">
      <c r="A11" s="598"/>
      <c r="B11" s="3232" t="s">
        <v>3162</v>
      </c>
      <c r="C11" s="390"/>
      <c r="D11" s="132">
        <v>100</v>
      </c>
      <c r="E11" s="390"/>
      <c r="F11" s="132">
        <f>SUMIF(57:57,E11,58:58)-SUMIF(57:57,C11,58:58)+100</f>
        <v>100</v>
      </c>
      <c r="G11" s="390"/>
      <c r="H11" s="132">
        <f>SUMIF(57:57,G11,58:58)-SUMIF(57:57,C11,58:58)+100</f>
        <v>100</v>
      </c>
      <c r="I11" s="390"/>
      <c r="J11" s="132">
        <f>SUMIF(57:57,I11,58:58)-SUMIF(57:57,C11,58:58)+100</f>
        <v>100</v>
      </c>
      <c r="K11" s="569"/>
      <c r="L11" s="2919"/>
      <c r="M11" s="2914"/>
      <c r="N11" s="2914"/>
      <c r="O11" s="2914"/>
      <c r="P11" s="3355"/>
      <c r="Q11" s="1496" t="str">
        <f t="shared" si="6"/>
        <v>容积率</v>
      </c>
      <c r="R11" s="709" t="s">
        <v>17</v>
      </c>
      <c r="S11" s="710">
        <f t="shared" si="0"/>
        <v>100</v>
      </c>
      <c r="T11" s="709" t="s">
        <v>17</v>
      </c>
      <c r="U11" s="710">
        <f t="shared" si="1"/>
        <v>100</v>
      </c>
      <c r="V11" s="709" t="s">
        <v>17</v>
      </c>
      <c r="W11" s="710">
        <f t="shared" si="2"/>
        <v>100</v>
      </c>
      <c r="X11" s="711"/>
      <c r="Y11" s="3364"/>
      <c r="Z11" s="55" t="str">
        <f t="shared" si="7"/>
        <v>容积率</v>
      </c>
      <c r="AA11" s="712">
        <f t="shared" si="3"/>
        <v>1</v>
      </c>
      <c r="AB11" s="712">
        <f t="shared" si="4"/>
        <v>1</v>
      </c>
      <c r="AC11" s="712">
        <f t="shared" si="5"/>
        <v>1</v>
      </c>
    </row>
    <row r="12" spans="1:29" s="113" customFormat="1" ht="15" hidden="1">
      <c r="A12" s="600"/>
      <c r="B12" s="599">
        <v>111</v>
      </c>
      <c r="C12" s="390"/>
      <c r="D12" s="391">
        <v>100</v>
      </c>
      <c r="E12" s="390"/>
      <c r="F12" s="132">
        <f>SUMIF(59:59,E12,60:60)-SUMIF(59:59,C12,60:60)+100</f>
        <v>100</v>
      </c>
      <c r="G12" s="390"/>
      <c r="H12" s="132">
        <f>SUMIF(59:59,G12,60:60)-SUMIF(59:59,C12,60:60)+100</f>
        <v>100</v>
      </c>
      <c r="I12" s="390"/>
      <c r="J12" s="132">
        <f>SUMIF(59:59,I12,60:60)-SUMIF(59:59,C12,60:60)+100</f>
        <v>100</v>
      </c>
      <c r="K12" s="569"/>
      <c r="L12" s="2915"/>
      <c r="M12" s="2916"/>
      <c r="N12" s="2916"/>
      <c r="O12" s="2916"/>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75" hidden="1" thickBot="1">
      <c r="A13" s="601"/>
      <c r="B13" s="599">
        <v>111</v>
      </c>
      <c r="C13" s="392"/>
      <c r="D13" s="393">
        <v>100</v>
      </c>
      <c r="E13" s="390"/>
      <c r="F13" s="132">
        <f>SUMIF(61:61,E13,62:62)-SUMIF(61:61,C13,62:62)+100</f>
        <v>100</v>
      </c>
      <c r="G13" s="390"/>
      <c r="H13" s="393">
        <f>SUMIF(61:61,G13,62:62)-SUMIF(61:61,C13,62:62)+100</f>
        <v>100</v>
      </c>
      <c r="I13" s="390"/>
      <c r="J13" s="393">
        <f>SUMIF(61:61,I13,62:62)-SUMIF(61:61,C13,62:62)+100</f>
        <v>100</v>
      </c>
      <c r="K13" s="569"/>
      <c r="L13" s="2920"/>
      <c r="M13" s="2914"/>
      <c r="N13" s="2914"/>
      <c r="O13" s="2914"/>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2.75" customHeight="1">
      <c r="A14" s="360" t="s">
        <v>2320</v>
      </c>
      <c r="B14" s="584" t="s">
        <v>2470</v>
      </c>
      <c r="C14" s="2126"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v>2</v>
      </c>
      <c r="L14" s="2920"/>
      <c r="M14" s="2914"/>
      <c r="N14" s="2914"/>
      <c r="O14" s="2914"/>
      <c r="P14" s="3360" t="s">
        <v>2321</v>
      </c>
      <c r="Q14" s="1505" t="str">
        <f t="shared" si="6"/>
        <v>交通便捷度</v>
      </c>
      <c r="R14" s="713" t="s">
        <v>17</v>
      </c>
      <c r="S14" s="714">
        <f t="shared" si="0"/>
        <v>100</v>
      </c>
      <c r="T14" s="713" t="s">
        <v>17</v>
      </c>
      <c r="U14" s="714">
        <f t="shared" si="1"/>
        <v>100</v>
      </c>
      <c r="V14" s="713" t="s">
        <v>17</v>
      </c>
      <c r="W14" s="714">
        <f t="shared" si="2"/>
        <v>100</v>
      </c>
      <c r="X14" s="1508"/>
      <c r="Y14" s="3360" t="s">
        <v>2321</v>
      </c>
      <c r="Z14" s="1509" t="str">
        <f t="shared" si="7"/>
        <v>交通便捷度</v>
      </c>
      <c r="AA14" s="1506">
        <f t="shared" si="3"/>
        <v>1</v>
      </c>
      <c r="AB14" s="1506">
        <f t="shared" si="4"/>
        <v>1</v>
      </c>
      <c r="AC14" s="1506">
        <f t="shared" si="5"/>
        <v>1</v>
      </c>
    </row>
    <row r="15" spans="1:29" ht="12.75" customHeight="1">
      <c r="A15" s="363"/>
      <c r="B15" s="602"/>
      <c r="C15" s="405" t="s">
        <v>3163</v>
      </c>
      <c r="D15" s="406"/>
      <c r="E15" s="405" t="s">
        <v>3163</v>
      </c>
      <c r="F15" s="407"/>
      <c r="G15" s="405" t="s">
        <v>3163</v>
      </c>
      <c r="H15" s="408"/>
      <c r="I15" s="405" t="s">
        <v>3163</v>
      </c>
      <c r="J15" s="406"/>
      <c r="K15" s="571"/>
      <c r="L15" s="2920"/>
      <c r="M15" s="2914"/>
      <c r="N15" s="2914"/>
      <c r="O15" s="2914"/>
      <c r="P15" s="3361"/>
      <c r="Q15" s="1505"/>
      <c r="R15" s="713"/>
      <c r="S15" s="714"/>
      <c r="T15" s="713"/>
      <c r="U15" s="714"/>
      <c r="V15" s="713"/>
      <c r="W15" s="714"/>
      <c r="X15" s="1508"/>
      <c r="Y15" s="3361"/>
      <c r="Z15" s="1509"/>
      <c r="AA15" s="1506">
        <v>1</v>
      </c>
      <c r="AB15" s="1506">
        <v>1</v>
      </c>
      <c r="AC15" s="1506">
        <v>1</v>
      </c>
    </row>
    <row r="16" spans="1:29" ht="12.75" customHeight="1">
      <c r="A16" s="363"/>
      <c r="B16" s="586" t="s">
        <v>2449</v>
      </c>
      <c r="C16" s="2055"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v>2</v>
      </c>
      <c r="L16" s="2920"/>
      <c r="M16" s="2914"/>
      <c r="N16" s="2914"/>
      <c r="O16" s="2914"/>
      <c r="P16" s="3361"/>
      <c r="Q16" s="1505" t="str">
        <f>B16</f>
        <v>公共配套设施</v>
      </c>
      <c r="R16" s="713" t="s">
        <v>17</v>
      </c>
      <c r="S16" s="714">
        <f>F16</f>
        <v>100</v>
      </c>
      <c r="T16" s="713" t="s">
        <v>17</v>
      </c>
      <c r="U16" s="714">
        <f>H16</f>
        <v>100</v>
      </c>
      <c r="V16" s="713" t="s">
        <v>17</v>
      </c>
      <c r="W16" s="714">
        <f>J16</f>
        <v>100</v>
      </c>
      <c r="X16" s="1508"/>
      <c r="Y16" s="3361"/>
      <c r="Z16" s="1509" t="str">
        <f>Q16</f>
        <v>公共配套设施</v>
      </c>
      <c r="AA16" s="1506">
        <f t="shared" si="3"/>
        <v>1</v>
      </c>
      <c r="AB16" s="1506">
        <f t="shared" si="4"/>
        <v>1</v>
      </c>
      <c r="AC16" s="1506">
        <f t="shared" si="5"/>
        <v>1</v>
      </c>
    </row>
    <row r="17" spans="1:29" ht="12.75" customHeight="1">
      <c r="A17" s="363"/>
      <c r="B17" s="587"/>
      <c r="C17" s="405" t="s">
        <v>3163</v>
      </c>
      <c r="D17" s="406"/>
      <c r="E17" s="405" t="s">
        <v>3163</v>
      </c>
      <c r="F17" s="407"/>
      <c r="G17" s="405" t="s">
        <v>3163</v>
      </c>
      <c r="H17" s="406"/>
      <c r="I17" s="405" t="s">
        <v>3163</v>
      </c>
      <c r="J17" s="406"/>
      <c r="K17" s="571"/>
      <c r="L17" s="2920"/>
      <c r="M17" s="2914"/>
      <c r="N17" s="2914"/>
      <c r="O17" s="2914"/>
      <c r="P17" s="3361"/>
      <c r="Q17" s="1505"/>
      <c r="R17" s="713"/>
      <c r="S17" s="714"/>
      <c r="T17" s="713"/>
      <c r="U17" s="714"/>
      <c r="V17" s="713"/>
      <c r="W17" s="714"/>
      <c r="X17" s="1508"/>
      <c r="Y17" s="3361"/>
      <c r="Z17" s="1509"/>
      <c r="AA17" s="1506">
        <v>1</v>
      </c>
      <c r="AB17" s="1506">
        <v>1</v>
      </c>
      <c r="AC17" s="1506">
        <v>1</v>
      </c>
    </row>
    <row r="18" spans="1:29" ht="12.75" customHeight="1">
      <c r="A18" s="363"/>
      <c r="B18" s="588" t="s">
        <v>2450</v>
      </c>
      <c r="C18" s="2055"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v>2</v>
      </c>
      <c r="L18" s="2920"/>
      <c r="M18" s="2914"/>
      <c r="N18" s="2914"/>
      <c r="O18" s="2914"/>
      <c r="P18" s="3361"/>
      <c r="Q18" s="1505" t="str">
        <f>B18</f>
        <v>基础设施水平</v>
      </c>
      <c r="R18" s="713" t="s">
        <v>17</v>
      </c>
      <c r="S18" s="714">
        <f>F18</f>
        <v>100</v>
      </c>
      <c r="T18" s="713" t="s">
        <v>17</v>
      </c>
      <c r="U18" s="714">
        <f>H18</f>
        <v>100</v>
      </c>
      <c r="V18" s="713" t="s">
        <v>17</v>
      </c>
      <c r="W18" s="714">
        <f>J18</f>
        <v>100</v>
      </c>
      <c r="X18" s="1508"/>
      <c r="Y18" s="3361"/>
      <c r="Z18" s="1509" t="str">
        <f>Q18</f>
        <v>基础设施水平</v>
      </c>
      <c r="AA18" s="1506">
        <f t="shared" ref="AA18" si="8">D18/F18</f>
        <v>1</v>
      </c>
      <c r="AB18" s="1506">
        <f t="shared" ref="AB18" si="9">D18/H18</f>
        <v>1</v>
      </c>
      <c r="AC18" s="1506">
        <f t="shared" ref="AC18" si="10">D18/J18</f>
        <v>1</v>
      </c>
    </row>
    <row r="19" spans="1:29" ht="12.75" customHeight="1">
      <c r="A19" s="363"/>
      <c r="B19" s="588"/>
      <c r="C19" s="2056" t="s">
        <v>3164</v>
      </c>
      <c r="D19" s="408"/>
      <c r="E19" s="2056" t="s">
        <v>3164</v>
      </c>
      <c r="F19" s="411"/>
      <c r="G19" s="2056" t="s">
        <v>3164</v>
      </c>
      <c r="H19" s="406"/>
      <c r="I19" s="2056" t="s">
        <v>3164</v>
      </c>
      <c r="J19" s="406"/>
      <c r="K19" s="1263"/>
      <c r="L19" s="2920"/>
      <c r="M19" s="2914"/>
      <c r="N19" s="2914"/>
      <c r="O19" s="2914"/>
      <c r="P19" s="3361"/>
      <c r="Q19" s="1505"/>
      <c r="R19" s="713"/>
      <c r="S19" s="714"/>
      <c r="T19" s="713"/>
      <c r="U19" s="714"/>
      <c r="V19" s="713"/>
      <c r="W19" s="714"/>
      <c r="X19" s="1508"/>
      <c r="Y19" s="3361"/>
      <c r="Z19" s="1509"/>
      <c r="AA19" s="1506">
        <v>1</v>
      </c>
      <c r="AB19" s="1506">
        <v>1</v>
      </c>
      <c r="AC19" s="1506">
        <v>1</v>
      </c>
    </row>
    <row r="20" spans="1:29" ht="12.75" customHeight="1">
      <c r="A20" s="363"/>
      <c r="B20" s="586" t="s">
        <v>2471</v>
      </c>
      <c r="C20" s="2055"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v>2</v>
      </c>
      <c r="L20" s="2920"/>
      <c r="M20" s="2914"/>
      <c r="N20" s="2914"/>
      <c r="O20" s="2914"/>
      <c r="P20" s="3361"/>
      <c r="Q20" s="1505" t="str">
        <f>B20</f>
        <v>自然及人文环境</v>
      </c>
      <c r="R20" s="713" t="s">
        <v>17</v>
      </c>
      <c r="S20" s="714">
        <f>F20</f>
        <v>100</v>
      </c>
      <c r="T20" s="713" t="s">
        <v>17</v>
      </c>
      <c r="U20" s="714">
        <f>H20</f>
        <v>100</v>
      </c>
      <c r="V20" s="713" t="s">
        <v>17</v>
      </c>
      <c r="W20" s="714">
        <f>J20</f>
        <v>100</v>
      </c>
      <c r="X20" s="1508"/>
      <c r="Y20" s="3361"/>
      <c r="Z20" s="1509" t="str">
        <f>Q20</f>
        <v>自然及人文环境</v>
      </c>
      <c r="AA20" s="1506">
        <f t="shared" si="3"/>
        <v>1</v>
      </c>
      <c r="AB20" s="1506">
        <f t="shared" si="4"/>
        <v>1</v>
      </c>
      <c r="AC20" s="1506">
        <f t="shared" si="5"/>
        <v>1</v>
      </c>
    </row>
    <row r="21" spans="1:29" ht="12.75" customHeight="1">
      <c r="A21" s="363"/>
      <c r="B21" s="587"/>
      <c r="C21" s="405" t="s">
        <v>3163</v>
      </c>
      <c r="D21" s="406"/>
      <c r="E21" s="405" t="s">
        <v>3163</v>
      </c>
      <c r="F21" s="407"/>
      <c r="G21" s="405" t="s">
        <v>3163</v>
      </c>
      <c r="H21" s="406"/>
      <c r="I21" s="405" t="s">
        <v>3163</v>
      </c>
      <c r="J21" s="406"/>
      <c r="K21" s="571"/>
      <c r="L21" s="2920"/>
      <c r="M21" s="2914"/>
      <c r="N21" s="2914"/>
      <c r="O21" s="2914"/>
      <c r="P21" s="3361"/>
      <c r="Q21" s="1505"/>
      <c r="R21" s="713"/>
      <c r="S21" s="714"/>
      <c r="T21" s="713"/>
      <c r="U21" s="714"/>
      <c r="V21" s="713"/>
      <c r="W21" s="714"/>
      <c r="X21" s="1508"/>
      <c r="Y21" s="3361"/>
      <c r="Z21" s="1509"/>
      <c r="AA21" s="1506">
        <v>1</v>
      </c>
      <c r="AB21" s="1506">
        <v>1</v>
      </c>
      <c r="AC21" s="1506">
        <v>1</v>
      </c>
    </row>
    <row r="22" spans="1:29" ht="12.75" customHeight="1" thickBot="1">
      <c r="A22" s="363"/>
      <c r="B22" s="586" t="s">
        <v>2472</v>
      </c>
      <c r="C22" s="572">
        <v>-1</v>
      </c>
      <c r="D22" s="408">
        <v>100</v>
      </c>
      <c r="E22" s="572">
        <v>-1</v>
      </c>
      <c r="F22" s="419">
        <f>SUMIF(71:71,E22,72:72)-SUMIF(71:71,C22,72:72)+100</f>
        <v>100</v>
      </c>
      <c r="G22" s="572">
        <v>-1</v>
      </c>
      <c r="H22" s="393">
        <f>SUMIF(71:71,G22,72:72)-SUMIF(71:71,C22,72:72)+100</f>
        <v>100</v>
      </c>
      <c r="I22" s="572">
        <v>-1</v>
      </c>
      <c r="J22" s="393">
        <f>SUMIF(71:71,I22,72:72)-SUMIF(71:71,C22,72:72)+100</f>
        <v>100</v>
      </c>
      <c r="K22" s="568">
        <v>2</v>
      </c>
      <c r="L22" s="2920"/>
      <c r="M22" s="2914"/>
      <c r="N22" s="2914"/>
      <c r="O22" s="2914"/>
      <c r="P22" s="3361"/>
      <c r="Q22" s="1505" t="str">
        <f>B22</f>
        <v>楼层</v>
      </c>
      <c r="R22" s="713" t="s">
        <v>17</v>
      </c>
      <c r="S22" s="714">
        <f>F22</f>
        <v>100</v>
      </c>
      <c r="T22" s="713" t="s">
        <v>17</v>
      </c>
      <c r="U22" s="714">
        <f>H22</f>
        <v>100</v>
      </c>
      <c r="V22" s="713" t="s">
        <v>17</v>
      </c>
      <c r="W22" s="714">
        <f>J22</f>
        <v>100</v>
      </c>
      <c r="X22" s="1508"/>
      <c r="Y22" s="3361"/>
      <c r="Z22" s="1509" t="str">
        <f>Q22</f>
        <v>楼层</v>
      </c>
      <c r="AA22" s="1506">
        <f t="shared" si="3"/>
        <v>1</v>
      </c>
      <c r="AB22" s="1506">
        <f t="shared" si="4"/>
        <v>1</v>
      </c>
      <c r="AC22" s="1506">
        <f t="shared" si="5"/>
        <v>1</v>
      </c>
    </row>
    <row r="23" spans="1:29" ht="12.75" hidden="1" customHeight="1">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20"/>
      <c r="M23" s="2914"/>
      <c r="N23" s="2914"/>
      <c r="O23" s="2914"/>
      <c r="P23" s="3361"/>
      <c r="Q23" s="1505">
        <f>B23</f>
        <v>111</v>
      </c>
      <c r="R23" s="713" t="s">
        <v>17</v>
      </c>
      <c r="S23" s="714">
        <f>F23</f>
        <v>100</v>
      </c>
      <c r="T23" s="713" t="s">
        <v>17</v>
      </c>
      <c r="U23" s="714">
        <f>H23</f>
        <v>100</v>
      </c>
      <c r="V23" s="713" t="s">
        <v>17</v>
      </c>
      <c r="W23" s="714">
        <f>J23</f>
        <v>100</v>
      </c>
      <c r="X23" s="1508"/>
      <c r="Y23" s="3361"/>
      <c r="Z23" s="1509">
        <f>Q23</f>
        <v>111</v>
      </c>
      <c r="AA23" s="1506">
        <f t="shared" si="3"/>
        <v>1</v>
      </c>
      <c r="AB23" s="1506">
        <f t="shared" si="4"/>
        <v>1</v>
      </c>
      <c r="AC23" s="1506">
        <f t="shared" si="5"/>
        <v>1</v>
      </c>
    </row>
    <row r="24" spans="1:29" ht="12.75" hidden="1" customHeight="1">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20"/>
      <c r="M24" s="2914"/>
      <c r="N24" s="2914"/>
      <c r="O24" s="2914"/>
      <c r="P24" s="3361"/>
      <c r="Q24" s="1505">
        <f t="shared" ref="Q24:Q36" si="11">B24</f>
        <v>111</v>
      </c>
      <c r="R24" s="713" t="s">
        <v>17</v>
      </c>
      <c r="S24" s="714">
        <f>F24</f>
        <v>100</v>
      </c>
      <c r="T24" s="713" t="s">
        <v>17</v>
      </c>
      <c r="U24" s="714">
        <f>H24</f>
        <v>100</v>
      </c>
      <c r="V24" s="713" t="s">
        <v>17</v>
      </c>
      <c r="W24" s="714">
        <f>J24</f>
        <v>100</v>
      </c>
      <c r="X24" s="1508"/>
      <c r="Y24" s="3361"/>
      <c r="Z24" s="1509">
        <f>Q24</f>
        <v>111</v>
      </c>
      <c r="AA24" s="1506">
        <f t="shared" si="3"/>
        <v>1</v>
      </c>
      <c r="AB24" s="1506">
        <f t="shared" si="4"/>
        <v>1</v>
      </c>
      <c r="AC24" s="1506">
        <f t="shared" si="5"/>
        <v>1</v>
      </c>
    </row>
    <row r="25" spans="1:29" s="113" customFormat="1" ht="12.75" hidden="1" customHeight="1"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5"/>
      <c r="M25" s="2916"/>
      <c r="N25" s="2916"/>
      <c r="O25" s="2916"/>
      <c r="P25" s="3361"/>
      <c r="Q25" s="1496">
        <f t="shared" si="11"/>
        <v>111</v>
      </c>
      <c r="R25" s="709" t="s">
        <v>17</v>
      </c>
      <c r="S25" s="710">
        <f>F25</f>
        <v>100</v>
      </c>
      <c r="T25" s="709" t="s">
        <v>17</v>
      </c>
      <c r="U25" s="710">
        <f>H25</f>
        <v>100</v>
      </c>
      <c r="V25" s="709" t="s">
        <v>17</v>
      </c>
      <c r="W25" s="710">
        <f>J25</f>
        <v>100</v>
      </c>
      <c r="X25" s="711"/>
      <c r="Y25" s="3361"/>
      <c r="Z25" s="55">
        <f>Q25</f>
        <v>111</v>
      </c>
      <c r="AA25" s="1506">
        <f>D25/F25</f>
        <v>1</v>
      </c>
      <c r="AB25" s="1506">
        <f>D25/H25</f>
        <v>1</v>
      </c>
      <c r="AC25" s="1506">
        <f>D25/J25</f>
        <v>1</v>
      </c>
    </row>
    <row r="26" spans="1:29" ht="12.75" customHeight="1">
      <c r="A26" s="607" t="s">
        <v>2324</v>
      </c>
      <c r="B26" s="66" t="s">
        <v>2473</v>
      </c>
      <c r="C26" s="2127" t="str">
        <f>B1</f>
        <v>车库</v>
      </c>
      <c r="D26" s="406">
        <v>100</v>
      </c>
      <c r="E26" s="405" t="s">
        <v>3136</v>
      </c>
      <c r="F26" s="407">
        <f>SUMIF(79:79,E26,80:80)-SUMIF(79:79,C26,80:80)+100</f>
        <v>100</v>
      </c>
      <c r="G26" s="405" t="s">
        <v>3136</v>
      </c>
      <c r="H26" s="406">
        <f>SUMIF(79:79,G26,80:80)-SUMIF(79:79,C26,80:80)+100</f>
        <v>100</v>
      </c>
      <c r="I26" s="405" t="s">
        <v>3136</v>
      </c>
      <c r="J26" s="406">
        <f>SUMIF(79:79,I26,80:80)-SUMIF(79:79,C26,80:80)+100</f>
        <v>100</v>
      </c>
      <c r="K26" s="568">
        <v>2</v>
      </c>
      <c r="L26" s="2920"/>
      <c r="M26" s="2914"/>
      <c r="N26" s="2914"/>
      <c r="O26" s="2914"/>
      <c r="P26" s="3362" t="s">
        <v>2326</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363" t="s">
        <v>2326</v>
      </c>
      <c r="Z26" s="1509" t="str">
        <f t="shared" ref="Z26:Z36" si="15">Q26</f>
        <v>配套类型</v>
      </c>
      <c r="AA26" s="1506">
        <f t="shared" si="3"/>
        <v>1</v>
      </c>
      <c r="AB26" s="1506">
        <f t="shared" si="4"/>
        <v>1</v>
      </c>
      <c r="AC26" s="1506">
        <f t="shared" si="5"/>
        <v>1</v>
      </c>
    </row>
    <row r="27" spans="1:29" s="429" customFormat="1" ht="12.75" customHeight="1">
      <c r="A27" s="608"/>
      <c r="B27" s="609" t="s">
        <v>2474</v>
      </c>
      <c r="C27" s="610" t="str">
        <f>车位成交案例!G5</f>
        <v>1:1.3</v>
      </c>
      <c r="D27" s="132">
        <v>100</v>
      </c>
      <c r="E27" s="610" t="str">
        <f>车位成交案例!G2</f>
        <v>1:1.2</v>
      </c>
      <c r="F27" s="419">
        <f>SUMIF(81:81,E27,82:82)-SUMIF(81:81,C27,82:82)+100</f>
        <v>98</v>
      </c>
      <c r="G27" s="610" t="str">
        <f>车位成交案例!G3</f>
        <v>1:1</v>
      </c>
      <c r="H27" s="393">
        <f>SUMIF(81:81,G27,82:82)-SUMIF(81:81,C27,82:82)+100</f>
        <v>96</v>
      </c>
      <c r="I27" s="610" t="str">
        <f>车位成交案例!G4</f>
        <v>1:0.75</v>
      </c>
      <c r="J27" s="393">
        <f>SUMIF(81:81,I27,82:82)-SUMIF(81:81,C27,82:82)+100</f>
        <v>94</v>
      </c>
      <c r="K27" s="569"/>
      <c r="L27" s="2919"/>
      <c r="M27" s="2921"/>
      <c r="N27" s="2921"/>
      <c r="O27" s="2921"/>
      <c r="P27" s="3363"/>
      <c r="Q27" s="715" t="str">
        <f t="shared" si="11"/>
        <v>项目停车位配比</v>
      </c>
      <c r="R27" s="716" t="s">
        <v>17</v>
      </c>
      <c r="S27" s="717">
        <f t="shared" si="12"/>
        <v>98</v>
      </c>
      <c r="T27" s="716" t="s">
        <v>17</v>
      </c>
      <c r="U27" s="717">
        <f t="shared" si="13"/>
        <v>96</v>
      </c>
      <c r="V27" s="716" t="s">
        <v>17</v>
      </c>
      <c r="W27" s="717">
        <f t="shared" si="14"/>
        <v>94</v>
      </c>
      <c r="X27" s="718"/>
      <c r="Y27" s="3363"/>
      <c r="Z27" s="719" t="str">
        <f t="shared" si="15"/>
        <v>项目停车位配比</v>
      </c>
      <c r="AA27" s="1506">
        <f t="shared" si="3"/>
        <v>1.0204081632653061</v>
      </c>
      <c r="AB27" s="1506">
        <f t="shared" si="4"/>
        <v>1.0416666666666667</v>
      </c>
      <c r="AC27" s="1506">
        <f t="shared" si="5"/>
        <v>1.0638297872340425</v>
      </c>
    </row>
    <row r="28" spans="1:29" ht="12.75" customHeight="1">
      <c r="A28" s="611"/>
      <c r="B28" s="609" t="s">
        <v>2475</v>
      </c>
      <c r="C28" s="418" t="s">
        <v>3165</v>
      </c>
      <c r="D28" s="393">
        <v>100</v>
      </c>
      <c r="E28" s="418" t="s">
        <v>3165</v>
      </c>
      <c r="F28" s="419">
        <f>SUMIF(83:83,E28,84:84)-SUMIF(83:83,C28,84:84)+100</f>
        <v>100</v>
      </c>
      <c r="G28" s="418" t="s">
        <v>3165</v>
      </c>
      <c r="H28" s="393">
        <f>SUMIF(83:83,G28,84:84)-SUMIF(83:83,C28,84:84)+100</f>
        <v>100</v>
      </c>
      <c r="I28" s="418" t="s">
        <v>3165</v>
      </c>
      <c r="J28" s="393">
        <f>SUMIF(83:83,I28,84:84)-SUMIF(83:83,C28,84:84)+100</f>
        <v>100</v>
      </c>
      <c r="K28" s="568">
        <v>1</v>
      </c>
      <c r="L28" s="2920"/>
      <c r="M28" s="2914"/>
      <c r="N28" s="2914"/>
      <c r="O28" s="2914"/>
      <c r="P28" s="3363"/>
      <c r="Q28" s="1505" t="str">
        <f t="shared" si="11"/>
        <v>公共部分装修</v>
      </c>
      <c r="R28" s="713" t="s">
        <v>17</v>
      </c>
      <c r="S28" s="714">
        <f t="shared" si="12"/>
        <v>100</v>
      </c>
      <c r="T28" s="713" t="s">
        <v>17</v>
      </c>
      <c r="U28" s="714">
        <f t="shared" si="13"/>
        <v>100</v>
      </c>
      <c r="V28" s="713" t="s">
        <v>17</v>
      </c>
      <c r="W28" s="714">
        <f t="shared" si="14"/>
        <v>100</v>
      </c>
      <c r="X28" s="1508"/>
      <c r="Y28" s="3363"/>
      <c r="Z28" s="1509" t="str">
        <f t="shared" si="15"/>
        <v>公共部分装修</v>
      </c>
      <c r="AA28" s="1506">
        <f t="shared" si="3"/>
        <v>1</v>
      </c>
      <c r="AB28" s="1506">
        <f t="shared" si="4"/>
        <v>1</v>
      </c>
      <c r="AC28" s="1506">
        <f t="shared" si="5"/>
        <v>1</v>
      </c>
    </row>
    <row r="29" spans="1:29" ht="12.75" customHeight="1">
      <c r="A29" s="611"/>
      <c r="B29" s="609" t="s">
        <v>2476</v>
      </c>
      <c r="C29" s="432">
        <v>1</v>
      </c>
      <c r="D29" s="393">
        <v>100</v>
      </c>
      <c r="E29" s="432">
        <v>1</v>
      </c>
      <c r="F29" s="419">
        <f>LOOKUP(E29,86:86,87:87)-LOOKUP(C29,86:86,87:87)+100</f>
        <v>100</v>
      </c>
      <c r="G29" s="432">
        <v>1</v>
      </c>
      <c r="H29" s="419">
        <f>LOOKUP(G29,86:86,87:87)-LOOKUP(C29,86:86,87:87)+100</f>
        <v>100</v>
      </c>
      <c r="I29" s="432">
        <v>0.8</v>
      </c>
      <c r="J29" s="393">
        <f>LOOKUP(I29,86:86,87:87)-LOOKUP(C29,86:86,87:87)+100</f>
        <v>97</v>
      </c>
      <c r="K29" s="568">
        <v>3</v>
      </c>
      <c r="L29" s="2920"/>
      <c r="M29" s="2914"/>
      <c r="N29" s="2914"/>
      <c r="O29" s="2914"/>
      <c r="P29" s="3363"/>
      <c r="Q29" s="1505" t="str">
        <f t="shared" si="11"/>
        <v>成新率</v>
      </c>
      <c r="R29" s="713" t="s">
        <v>17</v>
      </c>
      <c r="S29" s="714">
        <f t="shared" si="12"/>
        <v>100</v>
      </c>
      <c r="T29" s="713" t="s">
        <v>17</v>
      </c>
      <c r="U29" s="714">
        <f t="shared" si="13"/>
        <v>100</v>
      </c>
      <c r="V29" s="713" t="s">
        <v>17</v>
      </c>
      <c r="W29" s="714">
        <f t="shared" si="14"/>
        <v>97</v>
      </c>
      <c r="X29" s="1508"/>
      <c r="Y29" s="3363"/>
      <c r="Z29" s="1509" t="str">
        <f t="shared" si="15"/>
        <v>成新率</v>
      </c>
      <c r="AA29" s="1506">
        <f t="shared" si="3"/>
        <v>1</v>
      </c>
      <c r="AB29" s="1506">
        <f t="shared" si="4"/>
        <v>1</v>
      </c>
      <c r="AC29" s="1506">
        <f t="shared" si="5"/>
        <v>1.0309278350515463</v>
      </c>
    </row>
    <row r="30" spans="1:29" ht="12.75" customHeight="1">
      <c r="A30" s="611"/>
      <c r="B30" s="609" t="s">
        <v>2477</v>
      </c>
      <c r="C30" s="612" t="s">
        <v>3168</v>
      </c>
      <c r="D30" s="393">
        <v>100</v>
      </c>
      <c r="E30" s="612" t="s">
        <v>3168</v>
      </c>
      <c r="F30" s="419">
        <f>SUMIF(88:88,E30,89:89)-SUMIF(88:88,C30,89:89)+100</f>
        <v>100</v>
      </c>
      <c r="G30" s="612" t="s">
        <v>3168</v>
      </c>
      <c r="H30" s="393">
        <f>SUMIF(88:88,E30,89:89)-SUMIF(88:88,C30,89:89)+100</f>
        <v>100</v>
      </c>
      <c r="I30" s="612" t="s">
        <v>3168</v>
      </c>
      <c r="J30" s="393">
        <f>SUMIF(88:88,E30,89:89)-SUMIF(88:88,C30,89:89)+100</f>
        <v>100</v>
      </c>
      <c r="K30" s="568">
        <v>2</v>
      </c>
      <c r="L30" s="2920"/>
      <c r="M30" s="2914"/>
      <c r="N30" s="2914"/>
      <c r="O30" s="2914"/>
      <c r="P30" s="3363"/>
      <c r="Q30" s="1505" t="str">
        <f t="shared" si="11"/>
        <v>物业等级</v>
      </c>
      <c r="R30" s="713" t="s">
        <v>17</v>
      </c>
      <c r="S30" s="714">
        <f t="shared" si="12"/>
        <v>100</v>
      </c>
      <c r="T30" s="713" t="s">
        <v>17</v>
      </c>
      <c r="U30" s="714">
        <f t="shared" si="13"/>
        <v>100</v>
      </c>
      <c r="V30" s="713" t="s">
        <v>17</v>
      </c>
      <c r="W30" s="714">
        <f t="shared" si="14"/>
        <v>100</v>
      </c>
      <c r="X30" s="1508"/>
      <c r="Y30" s="3363"/>
      <c r="Z30" s="1509" t="str">
        <f t="shared" si="15"/>
        <v>物业等级</v>
      </c>
      <c r="AA30" s="1506">
        <f t="shared" si="3"/>
        <v>1</v>
      </c>
      <c r="AB30" s="1506">
        <f t="shared" si="4"/>
        <v>1</v>
      </c>
      <c r="AC30" s="1506">
        <f t="shared" si="5"/>
        <v>1</v>
      </c>
    </row>
    <row r="31" spans="1:29" s="113" customFormat="1" ht="12.75" customHeight="1">
      <c r="A31" s="613"/>
      <c r="B31" s="609" t="s">
        <v>2478</v>
      </c>
      <c r="C31" s="427">
        <f>车位成交案例!J5</f>
        <v>23672.18</v>
      </c>
      <c r="D31" s="132">
        <v>100</v>
      </c>
      <c r="E31" s="427">
        <f>车位成交案例!J2</f>
        <v>30954</v>
      </c>
      <c r="F31" s="419">
        <f>LOOKUP(E31,91:91,92:92)-LOOKUP(C31,91:91,92:92)+100</f>
        <v>100</v>
      </c>
      <c r="G31" s="427">
        <f>车位成交案例!J3</f>
        <v>30848</v>
      </c>
      <c r="H31" s="393">
        <f>LOOKUP(G31,91:91,92:92)-LOOKUP(C31,91:91,92:92)+100</f>
        <v>100</v>
      </c>
      <c r="I31" s="427">
        <f>车位成交案例!J4</f>
        <v>26840</v>
      </c>
      <c r="J31" s="393">
        <f>LOOKUP(I31,91:91,92:92)-LOOKUP(C31,91:91,92:92)+100</f>
        <v>100</v>
      </c>
      <c r="K31" s="568"/>
      <c r="L31" s="2915"/>
      <c r="M31" s="2916"/>
      <c r="N31" s="2916"/>
      <c r="O31" s="2916"/>
      <c r="P31" s="3363"/>
      <c r="Q31" s="1496" t="str">
        <f t="shared" si="11"/>
        <v>停车位面积</v>
      </c>
      <c r="R31" s="709" t="s">
        <v>17</v>
      </c>
      <c r="S31" s="710">
        <f t="shared" si="12"/>
        <v>100</v>
      </c>
      <c r="T31" s="709" t="s">
        <v>17</v>
      </c>
      <c r="U31" s="710">
        <f t="shared" si="13"/>
        <v>100</v>
      </c>
      <c r="V31" s="709" t="s">
        <v>17</v>
      </c>
      <c r="W31" s="710">
        <f t="shared" si="14"/>
        <v>100</v>
      </c>
      <c r="X31" s="711"/>
      <c r="Y31" s="3363"/>
      <c r="Z31" s="55" t="str">
        <f t="shared" si="15"/>
        <v>停车位面积</v>
      </c>
      <c r="AA31" s="712">
        <f t="shared" si="3"/>
        <v>1</v>
      </c>
      <c r="AB31" s="712">
        <f t="shared" si="4"/>
        <v>1</v>
      </c>
      <c r="AC31" s="712">
        <f t="shared" si="5"/>
        <v>1</v>
      </c>
    </row>
    <row r="32" spans="1:29" ht="12.75" customHeight="1" thickBot="1">
      <c r="A32" s="611"/>
      <c r="B32" s="609" t="s">
        <v>2479</v>
      </c>
      <c r="C32" s="418" t="s">
        <v>3173</v>
      </c>
      <c r="D32" s="393">
        <v>100</v>
      </c>
      <c r="E32" s="418" t="s">
        <v>3173</v>
      </c>
      <c r="F32" s="419">
        <f>SUMIF(93:93,E32,94:94)-SUMIF(93:93,C32,94:94)+100</f>
        <v>100</v>
      </c>
      <c r="G32" s="418" t="s">
        <v>3173</v>
      </c>
      <c r="H32" s="393">
        <f>SUMIF(93:93,G32,94:94)-SUMIF(93:93,C32,94:94)+100</f>
        <v>100</v>
      </c>
      <c r="I32" s="418" t="s">
        <v>3173</v>
      </c>
      <c r="J32" s="393">
        <f>SUMIF(93:93,I32,94:94)-SUMIF(93:93,C32,94:94)+100</f>
        <v>100</v>
      </c>
      <c r="K32" s="568">
        <v>2</v>
      </c>
      <c r="L32" s="2920"/>
      <c r="M32" s="2914"/>
      <c r="N32" s="2914"/>
      <c r="O32" s="2914"/>
      <c r="P32" s="3363" t="s">
        <v>2326</v>
      </c>
      <c r="Q32" s="1505" t="str">
        <f t="shared" si="11"/>
        <v>车位类型</v>
      </c>
      <c r="R32" s="713" t="s">
        <v>17</v>
      </c>
      <c r="S32" s="714">
        <f t="shared" si="12"/>
        <v>100</v>
      </c>
      <c r="T32" s="713" t="s">
        <v>17</v>
      </c>
      <c r="U32" s="714">
        <f t="shared" si="13"/>
        <v>100</v>
      </c>
      <c r="V32" s="713" t="s">
        <v>17</v>
      </c>
      <c r="W32" s="714">
        <f t="shared" si="14"/>
        <v>100</v>
      </c>
      <c r="X32" s="1508"/>
      <c r="Y32" s="3363" t="s">
        <v>2326</v>
      </c>
      <c r="Z32" s="1509" t="str">
        <f t="shared" si="15"/>
        <v>车位类型</v>
      </c>
      <c r="AA32" s="1506">
        <f t="shared" si="3"/>
        <v>1</v>
      </c>
      <c r="AB32" s="1506">
        <f t="shared" si="4"/>
        <v>1</v>
      </c>
      <c r="AC32" s="1506">
        <f t="shared" si="5"/>
        <v>1</v>
      </c>
    </row>
    <row r="33" spans="1:29" ht="15" hidden="1">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20"/>
      <c r="M33" s="2914"/>
      <c r="N33" s="2914"/>
      <c r="O33" s="2914"/>
      <c r="P33" s="3363"/>
      <c r="Q33" s="1505" t="str">
        <f t="shared" si="11"/>
        <v>是否直接入户</v>
      </c>
      <c r="R33" s="713" t="s">
        <v>17</v>
      </c>
      <c r="S33" s="714">
        <f t="shared" si="12"/>
        <v>100</v>
      </c>
      <c r="T33" s="713" t="s">
        <v>17</v>
      </c>
      <c r="U33" s="714">
        <f t="shared" si="13"/>
        <v>100</v>
      </c>
      <c r="V33" s="713" t="s">
        <v>17</v>
      </c>
      <c r="W33" s="714">
        <f t="shared" si="14"/>
        <v>100</v>
      </c>
      <c r="X33" s="1508"/>
      <c r="Y33" s="3363"/>
      <c r="Z33" s="1509" t="str">
        <f t="shared" si="15"/>
        <v>是否直接入户</v>
      </c>
      <c r="AA33" s="1506">
        <f t="shared" si="3"/>
        <v>1</v>
      </c>
      <c r="AB33" s="1506">
        <f t="shared" si="4"/>
        <v>1</v>
      </c>
      <c r="AC33" s="1506">
        <f t="shared" si="5"/>
        <v>1</v>
      </c>
    </row>
    <row r="34" spans="1:29" ht="15" hidden="1">
      <c r="A34" s="611"/>
      <c r="B34" s="3249" t="s">
        <v>3237</v>
      </c>
      <c r="C34" s="3250"/>
      <c r="D34" s="393">
        <v>100</v>
      </c>
      <c r="E34" s="390"/>
      <c r="F34" s="419">
        <f>SUMIF(97:97,E34,98:98)-SUMIF(97:97,C34,98:98)+100</f>
        <v>100</v>
      </c>
      <c r="G34" s="3250"/>
      <c r="H34" s="393">
        <f>SUMIF(97:97,G34,98:98)-SUMIF(97:97,C34,98:98)+100</f>
        <v>100</v>
      </c>
      <c r="I34" s="3250"/>
      <c r="J34" s="393">
        <f>SUMIF(97:97,I34,98:98)-SUMIF(97:97,C34,98:98)+100</f>
        <v>100</v>
      </c>
      <c r="K34" s="569"/>
      <c r="L34" s="2920"/>
      <c r="M34" s="2914"/>
      <c r="N34" s="2914"/>
      <c r="O34" s="2914"/>
      <c r="P34" s="3363"/>
      <c r="Q34" s="1505" t="str">
        <f t="shared" si="11"/>
        <v>建筑类型</v>
      </c>
      <c r="R34" s="713" t="s">
        <v>17</v>
      </c>
      <c r="S34" s="714">
        <f t="shared" si="12"/>
        <v>100</v>
      </c>
      <c r="T34" s="713" t="s">
        <v>17</v>
      </c>
      <c r="U34" s="714">
        <f t="shared" si="13"/>
        <v>100</v>
      </c>
      <c r="V34" s="713" t="s">
        <v>17</v>
      </c>
      <c r="W34" s="714">
        <f t="shared" si="14"/>
        <v>100</v>
      </c>
      <c r="X34" s="1508"/>
      <c r="Y34" s="3363"/>
      <c r="Z34" s="1509" t="str">
        <f t="shared" si="15"/>
        <v>建筑类型</v>
      </c>
      <c r="AA34" s="1506">
        <f t="shared" si="3"/>
        <v>1</v>
      </c>
      <c r="AB34" s="1506">
        <f t="shared" si="4"/>
        <v>1</v>
      </c>
      <c r="AC34" s="1506">
        <f t="shared" si="5"/>
        <v>1</v>
      </c>
    </row>
    <row r="35" spans="1:29" s="429" customFormat="1" ht="15" hidden="1">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9"/>
      <c r="M35" s="2921"/>
      <c r="N35" s="2921"/>
      <c r="O35" s="2921"/>
      <c r="P35" s="3363"/>
      <c r="Q35" s="715">
        <f t="shared" si="11"/>
        <v>111</v>
      </c>
      <c r="R35" s="716" t="s">
        <v>17</v>
      </c>
      <c r="S35" s="717">
        <f t="shared" si="12"/>
        <v>100</v>
      </c>
      <c r="T35" s="716" t="s">
        <v>17</v>
      </c>
      <c r="U35" s="717">
        <f t="shared" si="13"/>
        <v>100</v>
      </c>
      <c r="V35" s="716" t="s">
        <v>17</v>
      </c>
      <c r="W35" s="717">
        <f t="shared" si="14"/>
        <v>100</v>
      </c>
      <c r="X35" s="718"/>
      <c r="Y35" s="3363"/>
      <c r="Z35" s="719">
        <f t="shared" si="15"/>
        <v>111</v>
      </c>
      <c r="AA35" s="1506">
        <f t="shared" si="3"/>
        <v>1</v>
      </c>
      <c r="AB35" s="1506">
        <f t="shared" si="4"/>
        <v>1</v>
      </c>
      <c r="AC35" s="1506">
        <f t="shared" si="5"/>
        <v>1</v>
      </c>
    </row>
    <row r="36" spans="1:29" ht="15.75" hidden="1"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20"/>
      <c r="M36" s="2914"/>
      <c r="N36" s="2914"/>
      <c r="O36" s="2914"/>
      <c r="P36" s="3363"/>
      <c r="Q36" s="1505">
        <f t="shared" si="11"/>
        <v>111</v>
      </c>
      <c r="R36" s="713" t="s">
        <v>17</v>
      </c>
      <c r="S36" s="714">
        <f t="shared" si="12"/>
        <v>100</v>
      </c>
      <c r="T36" s="713" t="s">
        <v>17</v>
      </c>
      <c r="U36" s="714">
        <f t="shared" si="13"/>
        <v>100</v>
      </c>
      <c r="V36" s="713" t="s">
        <v>17</v>
      </c>
      <c r="W36" s="714">
        <f t="shared" si="14"/>
        <v>100</v>
      </c>
      <c r="X36" s="1508"/>
      <c r="Y36" s="3363"/>
      <c r="Z36" s="1509">
        <f t="shared" si="15"/>
        <v>111</v>
      </c>
      <c r="AA36" s="1506">
        <f t="shared" si="3"/>
        <v>1</v>
      </c>
      <c r="AB36" s="1506">
        <f t="shared" si="4"/>
        <v>1</v>
      </c>
      <c r="AC36" s="1506">
        <f t="shared" si="5"/>
        <v>1</v>
      </c>
    </row>
    <row r="37" spans="1:29" ht="15">
      <c r="A37" s="437" t="s">
        <v>2481</v>
      </c>
      <c r="B37" s="2128" t="s">
        <v>3242</v>
      </c>
      <c r="C37" s="1287" t="s">
        <v>1</v>
      </c>
      <c r="D37" s="1288"/>
      <c r="E37" s="1289">
        <v>7796</v>
      </c>
      <c r="F37" s="1290"/>
      <c r="G37" s="1291">
        <v>8722</v>
      </c>
      <c r="H37" s="1292"/>
      <c r="I37" s="1289">
        <v>6771</v>
      </c>
      <c r="J37" s="1292"/>
      <c r="K37" s="575"/>
      <c r="L37" s="2922"/>
      <c r="M37" s="2923"/>
      <c r="N37" s="2914"/>
      <c r="O37" s="2923"/>
      <c r="P37" s="3355" t="str">
        <f>A37</f>
        <v>成交单价</v>
      </c>
      <c r="Q37" s="3355"/>
      <c r="R37" s="3356">
        <f>E37</f>
        <v>7796</v>
      </c>
      <c r="S37" s="3356"/>
      <c r="T37" s="3356">
        <f>G37</f>
        <v>8722</v>
      </c>
      <c r="U37" s="3356"/>
      <c r="V37" s="3356">
        <f>I37</f>
        <v>6771</v>
      </c>
      <c r="W37" s="3356"/>
      <c r="X37" s="698"/>
      <c r="Y37" s="720"/>
      <c r="Z37" s="698"/>
      <c r="AA37" s="698"/>
      <c r="AB37" s="698"/>
      <c r="AC37" s="698"/>
    </row>
    <row r="38" spans="1:29" ht="15.75" thickBot="1">
      <c r="A38" s="444" t="s">
        <v>2482</v>
      </c>
      <c r="B38" s="445" t="str">
        <f>B37</f>
        <v>元/平方米</v>
      </c>
      <c r="C38" s="1293">
        <f>R39</f>
        <v>8206</v>
      </c>
      <c r="D38" s="2507" t="s">
        <v>2818</v>
      </c>
      <c r="E38" s="1294">
        <f>R38</f>
        <v>7955</v>
      </c>
      <c r="F38" s="2508"/>
      <c r="G38" s="1293">
        <f>T38</f>
        <v>9085</v>
      </c>
      <c r="H38" s="2508"/>
      <c r="I38" s="1294">
        <f>V38</f>
        <v>7578</v>
      </c>
      <c r="J38" s="2508"/>
      <c r="K38" s="2510">
        <f>F38+H38+J38</f>
        <v>0</v>
      </c>
      <c r="L38" s="2922"/>
      <c r="M38" s="2923"/>
      <c r="N38" s="2923"/>
      <c r="O38" s="2923"/>
      <c r="P38" s="3355" t="str">
        <f>A38</f>
        <v>比较价值（元/平方米）</v>
      </c>
      <c r="Q38" s="3355"/>
      <c r="R38" s="3356">
        <f>IF(F1="售价",ROUND(PRODUCT(R37,AA7:AA36),0),ROUND(PRODUCT(R37,AA7:AA36),1))</f>
        <v>7955</v>
      </c>
      <c r="S38" s="3356"/>
      <c r="T38" s="3356">
        <f>IF(F1="售价",ROUND(PRODUCT(T37,AB7:AB36),0),ROUND(PRODUCT(T37,AB7:AB36),1))</f>
        <v>9085</v>
      </c>
      <c r="U38" s="3356"/>
      <c r="V38" s="3356">
        <f>IF(F1="售价",ROUND(PRODUCT(V37,AC7:AC36),0),ROUND(PRODUCT(V37,AC7:AC36),1))</f>
        <v>7578</v>
      </c>
      <c r="W38" s="3356"/>
      <c r="X38" s="698"/>
      <c r="Y38" s="698"/>
      <c r="Z38" s="698"/>
      <c r="AA38" s="698"/>
      <c r="AB38" s="698"/>
      <c r="AC38" s="698"/>
    </row>
    <row r="39" spans="1:29" ht="15.75" thickBot="1">
      <c r="A39" s="448" t="s">
        <v>2483</v>
      </c>
      <c r="B39" s="449"/>
      <c r="C39" s="1296">
        <f>R39</f>
        <v>8206</v>
      </c>
      <c r="D39" s="1296"/>
      <c r="E39" s="1296"/>
      <c r="F39" s="1296"/>
      <c r="G39" s="1296"/>
      <c r="H39" s="1296"/>
      <c r="I39" s="1296"/>
      <c r="J39" s="1296"/>
      <c r="K39" s="576"/>
      <c r="L39" s="2922"/>
      <c r="M39" s="2923"/>
      <c r="N39" s="2923"/>
      <c r="O39" s="2923"/>
      <c r="P39" s="3357" t="str">
        <f>A39</f>
        <v>估价对象XX用房的比较价值（楼面单价，元/平方米）</v>
      </c>
      <c r="Q39" s="3358"/>
      <c r="R39" s="3359">
        <f>IF(F1="售价",ROUND(IF(D38="简单平均",AVERAGE(R38:W38),R38*F38+T38*H38+V38*J38),0),ROUND(IF(D38="简单平均",AVERAGE(R38:V38),R38*F38+T38*H38+V38*J38),1))</f>
        <v>8206</v>
      </c>
      <c r="S39" s="3359"/>
      <c r="T39" s="3359"/>
      <c r="U39" s="3359"/>
      <c r="V39" s="3359"/>
      <c r="W39" s="3359"/>
      <c r="X39" s="698"/>
      <c r="Y39" s="698"/>
      <c r="Z39" s="698"/>
      <c r="AA39" s="698"/>
      <c r="AB39" s="698"/>
      <c r="AC39" s="698"/>
    </row>
    <row r="40" spans="1:29">
      <c r="A40" s="2923"/>
      <c r="B40" s="2923"/>
      <c r="C40" s="2923">
        <f>C39*43</f>
        <v>352858</v>
      </c>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3" t="s">
        <v>2484</v>
      </c>
      <c r="D42" s="454"/>
      <c r="E42" s="455">
        <f>IF(E37&lt;E38,E38/E37-1,E37/E38-1)</f>
        <v>2.0395074397126622E-2</v>
      </c>
      <c r="F42" s="456" t="str">
        <f>IF(OR(E42&gt;=0.3,E42&lt;=-0.3),"超过30%","")</f>
        <v/>
      </c>
      <c r="G42" s="455">
        <f>IF(G37&lt;G38,G38/G37-1,G37/G38-1)</f>
        <v>4.1618894748910895E-2</v>
      </c>
      <c r="H42" s="456" t="str">
        <f>IF(OR(G42&gt;=0.3,G42&lt;=-0.3),"超过30%","")</f>
        <v/>
      </c>
      <c r="I42" s="455">
        <f>IF(I37&lt;I38,I38/I37-1,I37/I38-1)</f>
        <v>0.11918475852902088</v>
      </c>
      <c r="J42" s="456" t="str">
        <f>IF(OR(I42&gt;=0.3,I42&lt;=-0.3),"超过30%","")</f>
        <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3" t="s">
        <v>2485</v>
      </c>
      <c r="D43" s="457"/>
      <c r="E43" s="455">
        <f>IF(E38&lt;G38,G38/E38-1,E38/G38-1)</f>
        <v>0.14204902576995604</v>
      </c>
      <c r="F43" s="456" t="str">
        <f>IF(OR(E43&gt;=0.2,E43&lt;=-0.2),"超过20%","")</f>
        <v/>
      </c>
      <c r="G43" s="455">
        <f>IF(G38&lt;I38,I38/G38-1,G38/I38-1)</f>
        <v>0.19886513591976773</v>
      </c>
      <c r="H43" s="456" t="str">
        <f>IF(OR(G43&gt;=0.2,G43&lt;=-0.2),"超过20%","")</f>
        <v/>
      </c>
      <c r="I43" s="455">
        <f>IF(I38&lt;E38,E38/I38-1,I38/E38-1)</f>
        <v>4.974927421483244E-2</v>
      </c>
      <c r="J43" s="456" t="str">
        <f>IF(OR(I43&gt;=0.2,I43&lt;=-0.2),"超过20%","")</f>
        <v/>
      </c>
      <c r="K43" s="2928"/>
      <c r="L43" s="2924"/>
      <c r="M43" s="2923"/>
      <c r="N43" s="2923"/>
      <c r="O43" s="2923"/>
      <c r="P43" s="2954"/>
      <c r="Q43" s="2923"/>
      <c r="R43" s="2923"/>
      <c r="S43" s="2923"/>
      <c r="T43" s="2923"/>
      <c r="U43" s="2923"/>
      <c r="V43" s="2923"/>
      <c r="W43" s="2923"/>
      <c r="X43" s="2923"/>
      <c r="Y43" s="2923"/>
      <c r="Z43" s="2923"/>
      <c r="AA43" s="2923"/>
      <c r="AB43" s="2923"/>
      <c r="AC43" s="2923"/>
    </row>
    <row r="44" spans="1:29" s="458" customFormat="1" ht="13.5" customHeight="1">
      <c r="A44" s="2926"/>
      <c r="B44" s="2926"/>
      <c r="C44" s="453" t="s">
        <v>2486</v>
      </c>
      <c r="D44" s="457"/>
      <c r="E44" s="455">
        <f>IF(E37&lt;G37,G37/E37-1,E37/G37-1)</f>
        <v>0.11877886095433565</v>
      </c>
      <c r="F44" s="456" t="str">
        <f>IF(OR(E44&gt;=0.3,E44&lt;=-0.3),"超过30%","")</f>
        <v/>
      </c>
      <c r="G44" s="455">
        <f>IF(G37&lt;I37,I37/G37-1,G37/I37-1)</f>
        <v>0.28814059961600935</v>
      </c>
      <c r="H44" s="456" t="str">
        <f>IF(OR(G44&gt;=0.3,G44&lt;=-0.3),"超过30%","")</f>
        <v/>
      </c>
      <c r="I44" s="455">
        <f>IF(I37&lt;E37,E37/I37-1,I37/E37-1)</f>
        <v>0.15138088908580705</v>
      </c>
      <c r="J44" s="456" t="str">
        <f>IF(OR(I44&gt;=0.3,I44&lt;=-0.3),"超过30%","")</f>
        <v/>
      </c>
      <c r="K44" s="2931"/>
      <c r="L44" s="2925"/>
      <c r="M44" s="2926"/>
      <c r="N44" s="2926"/>
      <c r="O44" s="2926"/>
      <c r="P44" s="2955"/>
      <c r="Q44" s="2926"/>
      <c r="R44" s="2926"/>
      <c r="S44" s="2926"/>
      <c r="T44" s="2926"/>
      <c r="U44" s="2926"/>
      <c r="V44" s="2926"/>
      <c r="W44" s="2926"/>
      <c r="X44" s="2926"/>
      <c r="Y44" s="2926"/>
      <c r="Z44" s="2926"/>
      <c r="AA44" s="2926"/>
      <c r="AB44" s="2926"/>
      <c r="AC44" s="2926"/>
    </row>
    <row r="45" spans="1:29" s="458"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299" t="s">
        <v>2487</v>
      </c>
      <c r="B47" s="1057"/>
      <c r="C47" s="1070"/>
      <c r="D47" s="1070"/>
      <c r="E47" s="1070"/>
      <c r="F47" s="1300"/>
      <c r="G47" s="1300"/>
      <c r="H47" s="1070"/>
      <c r="I47" s="1070"/>
      <c r="J47" s="1070"/>
      <c r="K47" s="1071"/>
      <c r="L47" s="1072"/>
      <c r="M47" s="1070"/>
      <c r="N47" s="2967"/>
      <c r="O47" s="2967"/>
      <c r="P47" s="2956"/>
      <c r="Q47" s="2937"/>
      <c r="R47" s="2923"/>
      <c r="S47" s="2923"/>
      <c r="T47" s="2923"/>
      <c r="U47" s="2923"/>
      <c r="V47" s="2923"/>
      <c r="W47" s="2923"/>
      <c r="X47" s="2923"/>
      <c r="Y47" s="2923"/>
      <c r="Z47" s="2923"/>
      <c r="AA47" s="2923"/>
      <c r="AB47" s="2923"/>
      <c r="AC47" s="2923"/>
    </row>
    <row r="48" spans="1:29" s="464" customFormat="1" ht="15">
      <c r="A48" s="461" t="s">
        <v>2488</v>
      </c>
      <c r="B48" s="462"/>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5"/>
      <c r="B49" s="466"/>
      <c r="C49" s="1310">
        <v>100</v>
      </c>
      <c r="D49" s="468"/>
      <c r="E49" s="468"/>
      <c r="F49" s="468"/>
      <c r="G49" s="468"/>
      <c r="H49" s="468"/>
      <c r="I49" s="468"/>
      <c r="J49" s="468"/>
      <c r="K49" s="468"/>
      <c r="L49" s="468"/>
      <c r="M49" s="469"/>
      <c r="N49" s="468"/>
      <c r="O49" s="469"/>
      <c r="P49" s="2958"/>
      <c r="Q49" s="2857"/>
      <c r="R49" s="2857"/>
      <c r="S49" s="2857"/>
      <c r="T49" s="2857"/>
      <c r="U49" s="2857"/>
      <c r="V49" s="2857"/>
      <c r="W49" s="2857"/>
      <c r="X49" s="2857"/>
      <c r="Y49" s="2857"/>
      <c r="Z49" s="2857"/>
      <c r="AA49" s="2857"/>
      <c r="AB49" s="2857"/>
      <c r="AC49" s="2857"/>
    </row>
    <row r="50" spans="1:29" s="113" customFormat="1" ht="15.75" thickBot="1">
      <c r="A50" s="471" t="s">
        <v>2346</v>
      </c>
      <c r="B50" s="472"/>
      <c r="C50" s="473"/>
      <c r="D50" s="474"/>
      <c r="E50" s="474"/>
      <c r="F50" s="474"/>
      <c r="G50" s="474"/>
      <c r="H50" s="474"/>
      <c r="I50" s="474"/>
      <c r="J50" s="474"/>
      <c r="K50" s="474"/>
      <c r="L50" s="474"/>
      <c r="M50" s="475"/>
      <c r="N50" s="474"/>
      <c r="O50" s="475"/>
      <c r="P50" s="2958"/>
      <c r="Q50" s="2937"/>
      <c r="R50" s="2857"/>
      <c r="S50" s="2857"/>
      <c r="T50" s="2857"/>
      <c r="U50" s="2857"/>
      <c r="V50" s="2857"/>
      <c r="W50" s="2857"/>
      <c r="X50" s="2857"/>
      <c r="Y50" s="2857"/>
      <c r="Z50" s="2857"/>
      <c r="AA50" s="2857"/>
      <c r="AB50" s="2857"/>
      <c r="AC50" s="2857"/>
    </row>
    <row r="51" spans="1:29" s="113" customFormat="1" ht="15">
      <c r="A51" s="477" t="s">
        <v>2311</v>
      </c>
      <c r="B51" s="466"/>
      <c r="C51" s="478" t="s">
        <v>2413</v>
      </c>
      <c r="D51" s="479"/>
      <c r="E51" s="479"/>
      <c r="F51" s="479"/>
      <c r="G51" s="479"/>
      <c r="H51" s="479"/>
      <c r="I51" s="479"/>
      <c r="J51" s="479"/>
      <c r="K51" s="479"/>
      <c r="L51" s="480"/>
      <c r="M51" s="481"/>
      <c r="N51" s="2950"/>
      <c r="O51" s="2950"/>
      <c r="P51" s="2959"/>
      <c r="Q51" s="2937"/>
      <c r="R51" s="2857"/>
      <c r="S51" s="2857"/>
      <c r="T51" s="2857"/>
      <c r="U51" s="2857"/>
      <c r="V51" s="2857"/>
      <c r="W51" s="2857"/>
      <c r="X51" s="2857"/>
      <c r="Y51" s="2857"/>
      <c r="Z51" s="2857"/>
      <c r="AA51" s="2857"/>
      <c r="AB51" s="2857"/>
      <c r="AC51" s="2857"/>
    </row>
    <row r="52" spans="1:29" s="113" customFormat="1" ht="15.75" thickBot="1">
      <c r="A52" s="477"/>
      <c r="B52" s="466"/>
      <c r="C52" s="594">
        <v>100</v>
      </c>
      <c r="D52" s="468"/>
      <c r="E52" s="468"/>
      <c r="F52" s="468"/>
      <c r="G52" s="468"/>
      <c r="H52" s="468"/>
      <c r="I52" s="468"/>
      <c r="J52" s="468"/>
      <c r="K52" s="468"/>
      <c r="L52" s="468"/>
      <c r="M52" s="470"/>
      <c r="N52" s="2950"/>
      <c r="O52" s="2950"/>
      <c r="P52" s="2958"/>
      <c r="Q52" s="2937"/>
      <c r="R52" s="2857"/>
      <c r="S52" s="2857"/>
      <c r="T52" s="2857"/>
      <c r="U52" s="2857"/>
      <c r="V52" s="2857"/>
      <c r="W52" s="2857"/>
      <c r="X52" s="2857"/>
      <c r="Y52" s="2857"/>
      <c r="Z52" s="2857"/>
      <c r="AA52" s="2857"/>
      <c r="AB52" s="2857"/>
      <c r="AC52" s="2857"/>
    </row>
    <row r="53" spans="1:29">
      <c r="A53" s="483" t="s">
        <v>2349</v>
      </c>
      <c r="B53" s="484" t="s">
        <v>2315</v>
      </c>
      <c r="C53" s="485" t="str">
        <f>C9</f>
        <v>车位</v>
      </c>
      <c r="D53" s="486"/>
      <c r="E53" s="486"/>
      <c r="F53" s="486"/>
      <c r="G53" s="486"/>
      <c r="H53" s="486"/>
      <c r="I53" s="486"/>
      <c r="J53" s="486"/>
      <c r="K53" s="487"/>
      <c r="L53" s="488"/>
      <c r="M53" s="489"/>
      <c r="N53" s="2951"/>
      <c r="O53" s="2951"/>
      <c r="P53" s="2960"/>
      <c r="Q53" s="2937"/>
      <c r="R53" s="2923"/>
      <c r="S53" s="2923"/>
      <c r="T53" s="2923"/>
      <c r="U53" s="2923"/>
      <c r="V53" s="2923"/>
      <c r="W53" s="2923"/>
      <c r="X53" s="2923"/>
      <c r="Y53" s="2923"/>
      <c r="Z53" s="2923"/>
      <c r="AA53" s="2923"/>
      <c r="AB53" s="2923"/>
      <c r="AC53" s="2923"/>
    </row>
    <row r="54" spans="1:29" ht="15.75" thickBot="1">
      <c r="A54" s="490"/>
      <c r="B54" s="491"/>
      <c r="C54" s="492">
        <v>100</v>
      </c>
      <c r="D54" s="492"/>
      <c r="E54" s="492"/>
      <c r="F54" s="492"/>
      <c r="G54" s="492"/>
      <c r="H54" s="492"/>
      <c r="I54" s="492"/>
      <c r="J54" s="492"/>
      <c r="K54" s="492"/>
      <c r="L54" s="492"/>
      <c r="M54" s="493"/>
      <c r="N54" s="2952"/>
      <c r="O54" s="2952"/>
      <c r="P54" s="2960"/>
      <c r="Q54" s="2937"/>
      <c r="R54" s="2923"/>
      <c r="S54" s="2923"/>
      <c r="T54" s="2923"/>
      <c r="U54" s="2923"/>
      <c r="V54" s="2923"/>
      <c r="W54" s="2923"/>
      <c r="X54" s="2923"/>
      <c r="Y54" s="2923"/>
      <c r="Z54" s="2923"/>
      <c r="AA54" s="2923"/>
      <c r="AB54" s="2923"/>
      <c r="AC54" s="2923"/>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1"/>
      <c r="O55" s="2951"/>
      <c r="P55" s="2960"/>
      <c r="Q55" s="2937"/>
      <c r="R55" s="2923"/>
      <c r="S55" s="2923"/>
      <c r="T55" s="2923"/>
      <c r="U55" s="2923"/>
      <c r="V55" s="2923"/>
      <c r="W55" s="2923"/>
      <c r="X55" s="2923"/>
      <c r="Y55" s="2923"/>
      <c r="Z55" s="2923"/>
      <c r="AA55" s="2923"/>
      <c r="AB55" s="2923"/>
      <c r="AC55" s="2923"/>
    </row>
    <row r="56" spans="1:29" ht="15.75" thickBot="1">
      <c r="A56" s="490"/>
      <c r="B56" s="499"/>
      <c r="C56" s="500" t="s">
        <v>24</v>
      </c>
      <c r="D56" s="500" t="s">
        <v>25</v>
      </c>
      <c r="E56" s="500">
        <v>100</v>
      </c>
      <c r="F56" s="500">
        <f>E56-$K10</f>
        <v>98</v>
      </c>
      <c r="G56" s="500">
        <f>F56-$K10</f>
        <v>96</v>
      </c>
      <c r="H56" s="500">
        <f>G56-$K10</f>
        <v>94</v>
      </c>
      <c r="I56" s="500">
        <f>H56-$K10</f>
        <v>92</v>
      </c>
      <c r="J56" s="500"/>
      <c r="K56" s="500"/>
      <c r="L56" s="500"/>
      <c r="M56" s="501"/>
      <c r="N56" s="2952"/>
      <c r="O56" s="2952"/>
      <c r="P56" s="2960"/>
      <c r="Q56" s="2937"/>
      <c r="R56" s="2923"/>
      <c r="S56" s="2923"/>
      <c r="T56" s="2923"/>
      <c r="U56" s="2923"/>
      <c r="V56" s="2923"/>
      <c r="W56" s="2923"/>
      <c r="X56" s="2923"/>
      <c r="Y56" s="2923"/>
      <c r="Z56" s="2923"/>
      <c r="AA56" s="2923"/>
      <c r="AB56" s="2923"/>
      <c r="AC56" s="2923"/>
    </row>
    <row r="57" spans="1:29" ht="15.75" thickTop="1">
      <c r="A57" s="490"/>
      <c r="B57" s="615" t="str">
        <f>B11</f>
        <v>容积率</v>
      </c>
      <c r="C57" s="505"/>
      <c r="D57" s="505"/>
      <c r="E57" s="505"/>
      <c r="F57" s="505"/>
      <c r="G57" s="505"/>
      <c r="H57" s="505"/>
      <c r="I57" s="505"/>
      <c r="J57" s="505"/>
      <c r="K57" s="506"/>
      <c r="L57" s="507"/>
      <c r="M57" s="508"/>
      <c r="N57" s="2951"/>
      <c r="O57" s="2951"/>
      <c r="P57" s="2960"/>
      <c r="Q57" s="2937"/>
      <c r="R57" s="2923"/>
      <c r="S57" s="2923"/>
      <c r="T57" s="2923"/>
      <c r="U57" s="2923"/>
      <c r="V57" s="2923"/>
      <c r="W57" s="2923"/>
      <c r="X57" s="2923"/>
      <c r="Y57" s="2923"/>
      <c r="Z57" s="2923"/>
      <c r="AA57" s="2923"/>
      <c r="AB57" s="2923"/>
      <c r="AC57" s="2923"/>
    </row>
    <row r="58" spans="1:29" ht="15.75" thickBot="1">
      <c r="A58" s="490"/>
      <c r="B58" s="491"/>
      <c r="C58" s="516"/>
      <c r="D58" s="492"/>
      <c r="E58" s="492"/>
      <c r="F58" s="492"/>
      <c r="G58" s="492"/>
      <c r="H58" s="492"/>
      <c r="I58" s="492"/>
      <c r="J58" s="492"/>
      <c r="K58" s="492"/>
      <c r="L58" s="492"/>
      <c r="M58" s="493"/>
      <c r="N58" s="2952"/>
      <c r="O58" s="2952"/>
      <c r="P58" s="2960"/>
      <c r="Q58" s="2937"/>
      <c r="R58" s="2923"/>
      <c r="S58" s="2923"/>
      <c r="T58" s="2923"/>
      <c r="U58" s="2923"/>
      <c r="V58" s="2923"/>
      <c r="W58" s="2923"/>
      <c r="X58" s="2923"/>
      <c r="Y58" s="2923"/>
      <c r="Z58" s="2923"/>
      <c r="AA58" s="2923"/>
      <c r="AB58" s="2923"/>
      <c r="AC58" s="2923"/>
    </row>
    <row r="59" spans="1:29" s="429" customFormat="1" ht="15.75" thickTop="1">
      <c r="A59" s="509"/>
      <c r="B59" s="494">
        <f>B12</f>
        <v>111</v>
      </c>
      <c r="C59" s="505"/>
      <c r="D59" s="505"/>
      <c r="E59" s="505"/>
      <c r="F59" s="505"/>
      <c r="G59" s="510"/>
      <c r="H59" s="511"/>
      <c r="I59" s="511"/>
      <c r="J59" s="511"/>
      <c r="K59" s="511"/>
      <c r="L59" s="512"/>
      <c r="M59" s="513"/>
      <c r="N59" s="2953"/>
      <c r="O59" s="2953"/>
      <c r="P59" s="2961"/>
      <c r="Q59" s="2944"/>
      <c r="R59" s="2945"/>
      <c r="S59" s="2945"/>
      <c r="T59" s="2945"/>
      <c r="U59" s="2945"/>
      <c r="V59" s="2945"/>
      <c r="W59" s="2945"/>
      <c r="X59" s="2945"/>
      <c r="Y59" s="2945"/>
      <c r="Z59" s="2945"/>
      <c r="AA59" s="2945"/>
      <c r="AB59" s="2945"/>
      <c r="AC59" s="2945"/>
    </row>
    <row r="60" spans="1:29" s="429" customFormat="1" ht="15.75" thickBot="1">
      <c r="A60" s="509"/>
      <c r="B60" s="499"/>
      <c r="C60" s="516"/>
      <c r="D60" s="492"/>
      <c r="E60" s="492"/>
      <c r="F60" s="492"/>
      <c r="G60" s="492"/>
      <c r="H60" s="492"/>
      <c r="I60" s="492"/>
      <c r="J60" s="492"/>
      <c r="K60" s="492"/>
      <c r="L60" s="492"/>
      <c r="M60" s="493"/>
      <c r="N60" s="2952"/>
      <c r="O60" s="2952"/>
      <c r="P60" s="2961"/>
      <c r="Q60" s="2944"/>
      <c r="R60" s="2945"/>
      <c r="S60" s="2945"/>
      <c r="T60" s="2945"/>
      <c r="U60" s="2945"/>
      <c r="V60" s="2945"/>
      <c r="W60" s="2945"/>
      <c r="X60" s="2945"/>
      <c r="Y60" s="2945"/>
      <c r="Z60" s="2945"/>
      <c r="AA60" s="2945"/>
      <c r="AB60" s="2945"/>
      <c r="AC60" s="2945"/>
    </row>
    <row r="61" spans="1:29" s="429" customFormat="1" ht="15.75" thickTop="1">
      <c r="A61" s="509"/>
      <c r="B61" s="494">
        <f>B13</f>
        <v>111</v>
      </c>
      <c r="C61" s="510"/>
      <c r="D61" s="510"/>
      <c r="E61" s="510"/>
      <c r="F61" s="510"/>
      <c r="G61" s="510"/>
      <c r="H61" s="511"/>
      <c r="I61" s="511"/>
      <c r="J61" s="511"/>
      <c r="K61" s="511"/>
      <c r="L61" s="512"/>
      <c r="M61" s="513"/>
      <c r="N61" s="2953"/>
      <c r="O61" s="2953"/>
      <c r="P61" s="2962"/>
      <c r="Q61" s="2947"/>
      <c r="R61" s="2945"/>
      <c r="S61" s="2945"/>
      <c r="T61" s="2945"/>
      <c r="U61" s="2945"/>
      <c r="V61" s="2945"/>
      <c r="W61" s="2945"/>
      <c r="X61" s="2945"/>
      <c r="Y61" s="2945"/>
      <c r="Z61" s="2945"/>
      <c r="AA61" s="2945"/>
      <c r="AB61" s="2945"/>
      <c r="AC61" s="2945"/>
    </row>
    <row r="62" spans="1:29" s="429" customFormat="1" ht="15.75" thickBot="1">
      <c r="A62" s="509"/>
      <c r="B62" s="499"/>
      <c r="C62" s="516"/>
      <c r="D62" s="516"/>
      <c r="E62" s="516"/>
      <c r="F62" s="516"/>
      <c r="G62" s="516"/>
      <c r="H62" s="518"/>
      <c r="I62" s="518"/>
      <c r="J62" s="518"/>
      <c r="K62" s="518"/>
      <c r="L62" s="518"/>
      <c r="M62" s="519"/>
      <c r="N62" s="2953"/>
      <c r="O62" s="2953"/>
      <c r="P62" s="2961"/>
      <c r="Q62" s="2944"/>
      <c r="R62" s="2945"/>
      <c r="S62" s="2945"/>
      <c r="T62" s="2945"/>
      <c r="U62" s="2945"/>
      <c r="V62" s="2945"/>
      <c r="W62" s="2945"/>
      <c r="X62" s="2945"/>
      <c r="Y62" s="2945"/>
      <c r="Z62" s="2945"/>
      <c r="AA62" s="2945"/>
      <c r="AB62" s="2945"/>
      <c r="AC62" s="2945"/>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1"/>
      <c r="O63" s="2951"/>
      <c r="P63" s="2964"/>
      <c r="Q63" s="2937"/>
      <c r="R63" s="2923"/>
      <c r="S63" s="2923"/>
      <c r="T63" s="2923"/>
      <c r="U63" s="2923"/>
      <c r="V63" s="2923"/>
      <c r="W63" s="2923"/>
      <c r="X63" s="2923"/>
      <c r="Y63" s="2923"/>
      <c r="Z63" s="2923"/>
      <c r="AA63" s="2923"/>
      <c r="AB63" s="2923"/>
      <c r="AC63" s="2923"/>
    </row>
    <row r="64" spans="1:29" ht="15.75" thickBot="1">
      <c r="A64" s="490"/>
      <c r="B64" s="499"/>
      <c r="C64" s="500">
        <v>100</v>
      </c>
      <c r="D64" s="500">
        <f>C64-$K14</f>
        <v>98</v>
      </c>
      <c r="E64" s="500">
        <f>D64-$K14</f>
        <v>96</v>
      </c>
      <c r="F64" s="500">
        <f>E64-$K14</f>
        <v>94</v>
      </c>
      <c r="G64" s="500">
        <f>F64-$K14</f>
        <v>92</v>
      </c>
      <c r="H64" s="500"/>
      <c r="I64" s="500"/>
      <c r="J64" s="500"/>
      <c r="K64" s="500"/>
      <c r="L64" s="500"/>
      <c r="M64" s="501"/>
      <c r="N64" s="2952"/>
      <c r="O64" s="2952"/>
      <c r="P64" s="2960"/>
      <c r="Q64" s="2937"/>
      <c r="R64" s="2923"/>
      <c r="S64" s="2923"/>
      <c r="T64" s="2923"/>
      <c r="U64" s="2923"/>
      <c r="V64" s="2923"/>
      <c r="W64" s="2923"/>
      <c r="X64" s="2923"/>
      <c r="Y64" s="2923"/>
      <c r="Z64" s="2923"/>
      <c r="AA64" s="2923"/>
      <c r="AB64" s="2923"/>
      <c r="AC64" s="2923"/>
    </row>
    <row r="65" spans="1:29" ht="15.75" thickTop="1">
      <c r="A65" s="490"/>
      <c r="B65" s="494" t="s">
        <v>2364</v>
      </c>
      <c r="C65" s="534" t="s">
        <v>2358</v>
      </c>
      <c r="D65" s="534" t="s">
        <v>2359</v>
      </c>
      <c r="E65" s="534" t="s">
        <v>2360</v>
      </c>
      <c r="F65" s="534" t="s">
        <v>2361</v>
      </c>
      <c r="G65" s="534" t="s">
        <v>2362</v>
      </c>
      <c r="H65" s="495"/>
      <c r="I65" s="495"/>
      <c r="J65" s="495"/>
      <c r="K65" s="496"/>
      <c r="L65" s="497"/>
      <c r="M65" s="498"/>
      <c r="N65" s="2951"/>
      <c r="O65" s="2951"/>
      <c r="P65" s="2960"/>
      <c r="Q65" s="2937"/>
      <c r="R65" s="2923"/>
      <c r="S65" s="2923"/>
      <c r="T65" s="2923"/>
      <c r="U65" s="2923"/>
      <c r="V65" s="2923"/>
      <c r="W65" s="2923"/>
      <c r="X65" s="2923"/>
      <c r="Y65" s="2923"/>
      <c r="Z65" s="2923"/>
      <c r="AA65" s="2923"/>
      <c r="AB65" s="2923"/>
      <c r="AC65" s="2923"/>
    </row>
    <row r="66" spans="1:29" ht="15.75" thickBot="1">
      <c r="A66" s="490"/>
      <c r="B66" s="499"/>
      <c r="C66" s="500">
        <v>100</v>
      </c>
      <c r="D66" s="500">
        <f>C66-$K16</f>
        <v>98</v>
      </c>
      <c r="E66" s="500">
        <f>D66-$K16</f>
        <v>96</v>
      </c>
      <c r="F66" s="500">
        <f>E66-$K16</f>
        <v>94</v>
      </c>
      <c r="G66" s="500">
        <f>F66-$K16</f>
        <v>92</v>
      </c>
      <c r="H66" s="500"/>
      <c r="I66" s="500"/>
      <c r="J66" s="500"/>
      <c r="K66" s="500"/>
      <c r="L66" s="500"/>
      <c r="M66" s="501"/>
      <c r="N66" s="2952"/>
      <c r="O66" s="2952"/>
      <c r="P66" s="2960"/>
      <c r="Q66" s="2937"/>
      <c r="R66" s="2923"/>
      <c r="S66" s="2923"/>
      <c r="T66" s="2923"/>
      <c r="U66" s="2923"/>
      <c r="V66" s="2923"/>
      <c r="W66" s="2923"/>
      <c r="X66" s="2923"/>
      <c r="Y66" s="2923"/>
      <c r="Z66" s="2923"/>
      <c r="AA66" s="2923"/>
      <c r="AB66" s="2923"/>
      <c r="AC66" s="2923"/>
    </row>
    <row r="67" spans="1:29" ht="15.75" thickTop="1">
      <c r="A67" s="490"/>
      <c r="B67" s="502" t="s">
        <v>2450</v>
      </c>
      <c r="C67" s="615" t="s">
        <v>2436</v>
      </c>
      <c r="D67" s="615" t="s">
        <v>2437</v>
      </c>
      <c r="E67" s="615" t="s">
        <v>2438</v>
      </c>
      <c r="F67" s="615" t="s">
        <v>2439</v>
      </c>
      <c r="G67" s="615" t="s">
        <v>2440</v>
      </c>
      <c r="H67" s="495"/>
      <c r="I67" s="495"/>
      <c r="J67" s="495"/>
      <c r="K67" s="495"/>
      <c r="L67" s="495"/>
      <c r="M67" s="1262"/>
      <c r="N67" s="2952"/>
      <c r="O67" s="2952"/>
      <c r="P67" s="2960"/>
      <c r="Q67" s="2937"/>
      <c r="R67" s="2923"/>
      <c r="S67" s="2923"/>
      <c r="T67" s="2923"/>
      <c r="U67" s="2923"/>
      <c r="V67" s="2923"/>
      <c r="W67" s="2923"/>
      <c r="X67" s="2923"/>
      <c r="Y67" s="2923"/>
      <c r="Z67" s="2923"/>
      <c r="AA67" s="2923"/>
      <c r="AB67" s="2923"/>
      <c r="AC67" s="2923"/>
    </row>
    <row r="68" spans="1:29" ht="15.75" thickBot="1">
      <c r="A68" s="490"/>
      <c r="B68" s="502"/>
      <c r="C68" s="500">
        <v>100</v>
      </c>
      <c r="D68" s="500">
        <f>C68-$K18</f>
        <v>98</v>
      </c>
      <c r="E68" s="500">
        <f>D68-$K18</f>
        <v>96</v>
      </c>
      <c r="F68" s="500">
        <f>E68-$K18</f>
        <v>94</v>
      </c>
      <c r="G68" s="500">
        <f>F68-$K18</f>
        <v>92</v>
      </c>
      <c r="H68" s="615"/>
      <c r="I68" s="615"/>
      <c r="J68" s="615"/>
      <c r="K68" s="615"/>
      <c r="L68" s="615"/>
      <c r="M68" s="408"/>
      <c r="N68" s="2952"/>
      <c r="O68" s="2952"/>
      <c r="P68" s="2960"/>
      <c r="Q68" s="2937"/>
      <c r="R68" s="2923"/>
      <c r="S68" s="2923"/>
      <c r="T68" s="2923"/>
      <c r="U68" s="2923"/>
      <c r="V68" s="2923"/>
      <c r="W68" s="2923"/>
      <c r="X68" s="2923"/>
      <c r="Y68" s="2923"/>
      <c r="Z68" s="2923"/>
      <c r="AA68" s="2923"/>
      <c r="AB68" s="2923"/>
      <c r="AC68" s="2923"/>
    </row>
    <row r="69" spans="1:29" ht="15.75" thickTop="1">
      <c r="A69" s="490"/>
      <c r="B69" s="494" t="s">
        <v>2370</v>
      </c>
      <c r="C69" s="534" t="s">
        <v>2358</v>
      </c>
      <c r="D69" s="534" t="s">
        <v>2359</v>
      </c>
      <c r="E69" s="534" t="s">
        <v>2360</v>
      </c>
      <c r="F69" s="534" t="s">
        <v>2361</v>
      </c>
      <c r="G69" s="534" t="s">
        <v>2362</v>
      </c>
      <c r="H69" s="495"/>
      <c r="I69" s="495"/>
      <c r="J69" s="495"/>
      <c r="K69" s="496"/>
      <c r="L69" s="497"/>
      <c r="M69" s="498"/>
      <c r="N69" s="2951"/>
      <c r="O69" s="2951"/>
      <c r="P69" s="2960"/>
      <c r="Q69" s="2937"/>
      <c r="R69" s="2923"/>
      <c r="S69" s="2923"/>
      <c r="T69" s="2923"/>
      <c r="U69" s="2923"/>
      <c r="V69" s="2923"/>
      <c r="W69" s="2923"/>
      <c r="X69" s="2923"/>
      <c r="Y69" s="2923"/>
      <c r="Z69" s="2923"/>
      <c r="AA69" s="2923"/>
      <c r="AB69" s="2923"/>
      <c r="AC69" s="2923"/>
    </row>
    <row r="70" spans="1:29" ht="15.75" thickBot="1">
      <c r="A70" s="490"/>
      <c r="B70" s="499"/>
      <c r="C70" s="500">
        <v>100</v>
      </c>
      <c r="D70" s="500">
        <f>C70-$K20</f>
        <v>98</v>
      </c>
      <c r="E70" s="500">
        <f>D70-$K20</f>
        <v>96</v>
      </c>
      <c r="F70" s="500">
        <f>E70-$K20</f>
        <v>94</v>
      </c>
      <c r="G70" s="500">
        <f>F70-$K20</f>
        <v>92</v>
      </c>
      <c r="H70" s="500"/>
      <c r="I70" s="500"/>
      <c r="J70" s="500"/>
      <c r="K70" s="500"/>
      <c r="L70" s="500"/>
      <c r="M70" s="501"/>
      <c r="N70" s="2952"/>
      <c r="O70" s="2952"/>
      <c r="P70" s="2960"/>
      <c r="Q70" s="2937"/>
      <c r="R70" s="2923"/>
      <c r="S70" s="2923"/>
      <c r="T70" s="2923"/>
      <c r="U70" s="2923"/>
      <c r="V70" s="2923"/>
      <c r="W70" s="2923"/>
      <c r="X70" s="2923"/>
      <c r="Y70" s="2923"/>
      <c r="Z70" s="2923"/>
      <c r="AA70" s="2923"/>
      <c r="AB70" s="2923"/>
      <c r="AC70" s="2923"/>
    </row>
    <row r="71" spans="1:29" ht="15.75" thickTop="1">
      <c r="A71" s="490"/>
      <c r="B71" s="494" t="s">
        <v>2489</v>
      </c>
      <c r="C71" s="510">
        <v>-1</v>
      </c>
      <c r="D71" s="510"/>
      <c r="E71" s="510"/>
      <c r="F71" s="510"/>
      <c r="G71" s="510"/>
      <c r="H71" s="539"/>
      <c r="I71" s="539"/>
      <c r="J71" s="539"/>
      <c r="K71" s="540"/>
      <c r="L71" s="541"/>
      <c r="M71" s="542"/>
      <c r="N71" s="2951"/>
      <c r="O71" s="2951"/>
      <c r="P71" s="2960"/>
      <c r="Q71" s="2937"/>
      <c r="R71" s="2923"/>
      <c r="S71" s="2923"/>
      <c r="T71" s="2923"/>
      <c r="U71" s="2923"/>
      <c r="V71" s="2923"/>
      <c r="W71" s="2923"/>
      <c r="X71" s="2923"/>
      <c r="Y71" s="2923"/>
      <c r="Z71" s="2923"/>
      <c r="AA71" s="2923"/>
      <c r="AB71" s="2923"/>
      <c r="AC71" s="2923"/>
    </row>
    <row r="72" spans="1:29" ht="15.75" thickBot="1">
      <c r="A72" s="490"/>
      <c r="B72" s="499"/>
      <c r="C72" s="500">
        <v>100</v>
      </c>
      <c r="D72" s="500">
        <f>C72-$K22</f>
        <v>98</v>
      </c>
      <c r="E72" s="500">
        <f>D72-$K22</f>
        <v>96</v>
      </c>
      <c r="F72" s="500">
        <f>E72-$K22</f>
        <v>94</v>
      </c>
      <c r="G72" s="500">
        <f>F72-$K22</f>
        <v>92</v>
      </c>
      <c r="H72" s="500"/>
      <c r="I72" s="500"/>
      <c r="J72" s="500"/>
      <c r="K72" s="500"/>
      <c r="L72" s="500"/>
      <c r="M72" s="501"/>
      <c r="N72" s="2952"/>
      <c r="O72" s="2952"/>
      <c r="P72" s="2960"/>
      <c r="Q72" s="2937"/>
      <c r="R72" s="2923"/>
      <c r="S72" s="2923"/>
      <c r="T72" s="2923"/>
      <c r="U72" s="2923"/>
      <c r="V72" s="2923"/>
      <c r="W72" s="2923"/>
      <c r="X72" s="2923"/>
      <c r="Y72" s="2923"/>
      <c r="Z72" s="2923"/>
      <c r="AA72" s="2923"/>
      <c r="AB72" s="2923"/>
      <c r="AC72" s="2923"/>
    </row>
    <row r="73" spans="1:29" s="113" customFormat="1" ht="15.75" thickTop="1">
      <c r="A73" s="535"/>
      <c r="B73" s="494">
        <f>B23</f>
        <v>111</v>
      </c>
      <c r="C73" s="505"/>
      <c r="D73" s="505"/>
      <c r="E73" s="505"/>
      <c r="F73" s="505"/>
      <c r="G73" s="510"/>
      <c r="H73" s="510"/>
      <c r="I73" s="510"/>
      <c r="J73" s="510"/>
      <c r="K73" s="510"/>
      <c r="L73" s="536"/>
      <c r="M73" s="537"/>
      <c r="N73" s="2950"/>
      <c r="O73" s="2950"/>
      <c r="P73" s="2960"/>
      <c r="Q73" s="2937"/>
      <c r="R73" s="2857"/>
      <c r="S73" s="2857"/>
      <c r="T73" s="2857"/>
      <c r="U73" s="2857"/>
      <c r="V73" s="2857"/>
      <c r="W73" s="2857"/>
      <c r="X73" s="2857"/>
      <c r="Y73" s="2857"/>
      <c r="Z73" s="2857"/>
      <c r="AA73" s="2857"/>
      <c r="AB73" s="2857"/>
      <c r="AC73" s="2857"/>
    </row>
    <row r="74" spans="1:29" s="113" customFormat="1" ht="15.75" thickBot="1">
      <c r="A74" s="535"/>
      <c r="B74" s="499"/>
      <c r="C74" s="516"/>
      <c r="D74" s="492"/>
      <c r="E74" s="492"/>
      <c r="F74" s="492"/>
      <c r="G74" s="492"/>
      <c r="H74" s="492"/>
      <c r="I74" s="492"/>
      <c r="J74" s="492"/>
      <c r="K74" s="492"/>
      <c r="L74" s="492"/>
      <c r="M74" s="493"/>
      <c r="N74" s="2952"/>
      <c r="O74" s="2952"/>
      <c r="P74" s="2960"/>
      <c r="Q74" s="2937"/>
      <c r="R74" s="2857"/>
      <c r="S74" s="2857"/>
      <c r="T74" s="2857"/>
      <c r="U74" s="2857"/>
      <c r="V74" s="2857"/>
      <c r="W74" s="2857"/>
      <c r="X74" s="2857"/>
      <c r="Y74" s="2857"/>
      <c r="Z74" s="2857"/>
      <c r="AA74" s="2857"/>
      <c r="AB74" s="2857"/>
      <c r="AC74" s="2857"/>
    </row>
    <row r="75" spans="1:29" s="113" customFormat="1" ht="15.75" thickTop="1">
      <c r="A75" s="535"/>
      <c r="B75" s="494">
        <f>B24</f>
        <v>111</v>
      </c>
      <c r="C75" s="505"/>
      <c r="D75" s="505"/>
      <c r="E75" s="505"/>
      <c r="F75" s="505"/>
      <c r="G75" s="510"/>
      <c r="H75" s="510"/>
      <c r="I75" s="510"/>
      <c r="J75" s="510"/>
      <c r="K75" s="510"/>
      <c r="L75" s="510"/>
      <c r="M75" s="537"/>
      <c r="N75" s="2950"/>
      <c r="O75" s="2950"/>
      <c r="P75" s="2960"/>
      <c r="Q75" s="2937"/>
      <c r="R75" s="2857"/>
      <c r="S75" s="2857"/>
      <c r="T75" s="2857"/>
      <c r="U75" s="2857"/>
      <c r="V75" s="2857"/>
      <c r="W75" s="2857"/>
      <c r="X75" s="2857"/>
      <c r="Y75" s="2857"/>
      <c r="Z75" s="2857"/>
      <c r="AA75" s="2857"/>
      <c r="AB75" s="2857"/>
      <c r="AC75" s="2857"/>
    </row>
    <row r="76" spans="1:29" s="113" customFormat="1" ht="15.75" thickBot="1">
      <c r="A76" s="535"/>
      <c r="B76" s="499"/>
      <c r="C76" s="516"/>
      <c r="D76" s="492"/>
      <c r="E76" s="492"/>
      <c r="F76" s="492"/>
      <c r="G76" s="492"/>
      <c r="H76" s="492"/>
      <c r="I76" s="492"/>
      <c r="J76" s="492"/>
      <c r="K76" s="492"/>
      <c r="L76" s="492"/>
      <c r="M76" s="493"/>
      <c r="N76" s="2952"/>
      <c r="O76" s="2952"/>
      <c r="P76" s="2960"/>
      <c r="Q76" s="2937"/>
      <c r="R76" s="2857"/>
      <c r="S76" s="2857"/>
      <c r="T76" s="2857"/>
      <c r="U76" s="2857"/>
      <c r="V76" s="2857"/>
      <c r="W76" s="2857"/>
      <c r="X76" s="2857"/>
      <c r="Y76" s="2857"/>
      <c r="Z76" s="2857"/>
      <c r="AA76" s="2857"/>
      <c r="AB76" s="2857"/>
      <c r="AC76" s="2857"/>
    </row>
    <row r="77" spans="1:29" s="429" customFormat="1" ht="15.75" thickTop="1">
      <c r="A77" s="509"/>
      <c r="B77" s="494">
        <f>B25</f>
        <v>111</v>
      </c>
      <c r="C77" s="510"/>
      <c r="D77" s="510"/>
      <c r="E77" s="510"/>
      <c r="F77" s="510"/>
      <c r="G77" s="510"/>
      <c r="H77" s="511"/>
      <c r="I77" s="511"/>
      <c r="J77" s="511"/>
      <c r="K77" s="511"/>
      <c r="L77" s="512"/>
      <c r="M77" s="513"/>
      <c r="N77" s="2953"/>
      <c r="O77" s="2953"/>
      <c r="P77" s="2961"/>
      <c r="Q77" s="2944"/>
      <c r="R77" s="2945"/>
      <c r="S77" s="2945"/>
      <c r="T77" s="2945"/>
      <c r="U77" s="2945"/>
      <c r="V77" s="2945"/>
      <c r="W77" s="2945"/>
      <c r="X77" s="2945"/>
      <c r="Y77" s="2945"/>
      <c r="Z77" s="2945"/>
      <c r="AA77" s="2945"/>
      <c r="AB77" s="2945"/>
      <c r="AC77" s="2945"/>
    </row>
    <row r="78" spans="1:29" s="429" customFormat="1" ht="15.75" thickBot="1">
      <c r="A78" s="509"/>
      <c r="B78" s="499"/>
      <c r="C78" s="516"/>
      <c r="D78" s="516"/>
      <c r="E78" s="516"/>
      <c r="F78" s="516"/>
      <c r="G78" s="492"/>
      <c r="H78" s="492"/>
      <c r="I78" s="492"/>
      <c r="J78" s="492"/>
      <c r="K78" s="492"/>
      <c r="L78" s="492"/>
      <c r="M78" s="493"/>
      <c r="N78" s="2953"/>
      <c r="O78" s="2953"/>
      <c r="P78" s="2961"/>
      <c r="Q78" s="2944"/>
      <c r="R78" s="2945"/>
      <c r="S78" s="2945"/>
      <c r="T78" s="2945"/>
      <c r="U78" s="2945"/>
      <c r="V78" s="2945"/>
      <c r="W78" s="2945"/>
      <c r="X78" s="2945"/>
      <c r="Y78" s="2945"/>
      <c r="Z78" s="2945"/>
      <c r="AA78" s="2945"/>
      <c r="AB78" s="2945"/>
      <c r="AC78" s="2945"/>
    </row>
    <row r="79" spans="1:29" ht="27.75" thickTop="1">
      <c r="A79" s="483" t="s">
        <v>2324</v>
      </c>
      <c r="B79" s="484" t="s">
        <v>2490</v>
      </c>
      <c r="C79" s="485" t="str">
        <f>C26</f>
        <v>车库</v>
      </c>
      <c r="D79" s="3235" t="s">
        <v>3171</v>
      </c>
      <c r="E79" s="486"/>
      <c r="F79" s="486"/>
      <c r="G79" s="486"/>
      <c r="H79" s="486"/>
      <c r="I79" s="486"/>
      <c r="J79" s="486"/>
      <c r="K79" s="487"/>
      <c r="L79" s="488"/>
      <c r="M79" s="489"/>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 t="shared" ref="D80:M80" si="17">C80-$K26</f>
        <v>98</v>
      </c>
      <c r="E80" s="500">
        <f t="shared" si="17"/>
        <v>96</v>
      </c>
      <c r="F80" s="500">
        <f t="shared" si="17"/>
        <v>94</v>
      </c>
      <c r="G80" s="500">
        <f t="shared" si="17"/>
        <v>92</v>
      </c>
      <c r="H80" s="500">
        <f t="shared" si="17"/>
        <v>90</v>
      </c>
      <c r="I80" s="500">
        <f t="shared" si="17"/>
        <v>88</v>
      </c>
      <c r="J80" s="500">
        <f t="shared" si="17"/>
        <v>86</v>
      </c>
      <c r="K80" s="500">
        <f t="shared" si="17"/>
        <v>84</v>
      </c>
      <c r="L80" s="500">
        <f t="shared" si="17"/>
        <v>82</v>
      </c>
      <c r="M80" s="501">
        <f t="shared" si="17"/>
        <v>80</v>
      </c>
      <c r="N80" s="2952"/>
      <c r="O80" s="2952"/>
      <c r="P80" s="2960"/>
      <c r="Q80" s="2937"/>
      <c r="R80" s="2923"/>
      <c r="S80" s="2923"/>
      <c r="T80" s="2923"/>
      <c r="U80" s="2923"/>
      <c r="V80" s="2923"/>
      <c r="W80" s="2923"/>
      <c r="X80" s="2923"/>
      <c r="Y80" s="2923"/>
      <c r="Z80" s="2923"/>
      <c r="AA80" s="2923"/>
      <c r="AB80" s="2923"/>
      <c r="AC80" s="2923"/>
    </row>
    <row r="81" spans="1:29" ht="15.75" thickTop="1">
      <c r="A81" s="490"/>
      <c r="B81" s="494" t="s">
        <v>2491</v>
      </c>
      <c r="C81" s="616" t="str">
        <f>C27</f>
        <v>1:1.3</v>
      </c>
      <c r="D81" s="616" t="str">
        <f>E27</f>
        <v>1:1.2</v>
      </c>
      <c r="E81" s="616" t="str">
        <f>G27</f>
        <v>1:1</v>
      </c>
      <c r="F81" s="616" t="str">
        <f>I27</f>
        <v>1:0.75</v>
      </c>
      <c r="G81" s="486"/>
      <c r="H81" s="486"/>
      <c r="I81" s="486"/>
      <c r="J81" s="616"/>
      <c r="K81" s="617"/>
      <c r="L81" s="618"/>
      <c r="M81" s="619"/>
      <c r="N81" s="2950"/>
      <c r="O81" s="2950"/>
      <c r="P81" s="2960"/>
      <c r="Q81" s="2937"/>
      <c r="R81" s="2923"/>
      <c r="S81" s="2923"/>
      <c r="T81" s="2923"/>
      <c r="U81" s="2923"/>
      <c r="V81" s="2923"/>
      <c r="W81" s="2923"/>
      <c r="X81" s="2923"/>
      <c r="Y81" s="2923"/>
      <c r="Z81" s="2923"/>
      <c r="AA81" s="2923"/>
      <c r="AB81" s="2923"/>
      <c r="AC81" s="2923"/>
    </row>
    <row r="82" spans="1:29" s="429" customFormat="1" ht="15.75" thickBot="1">
      <c r="A82" s="509"/>
      <c r="B82" s="499"/>
      <c r="C82" s="516">
        <v>100</v>
      </c>
      <c r="D82" s="492">
        <v>98</v>
      </c>
      <c r="E82" s="492">
        <v>96</v>
      </c>
      <c r="F82" s="492">
        <v>94</v>
      </c>
      <c r="G82" s="492"/>
      <c r="H82" s="492"/>
      <c r="I82" s="492"/>
      <c r="J82" s="492"/>
      <c r="K82" s="492"/>
      <c r="L82" s="492"/>
      <c r="M82" s="493"/>
      <c r="N82" s="2952"/>
      <c r="O82" s="2952"/>
      <c r="P82" s="2961"/>
      <c r="Q82" s="2944"/>
      <c r="R82" s="2945"/>
      <c r="S82" s="2945"/>
      <c r="T82" s="2945"/>
      <c r="U82" s="2945"/>
      <c r="V82" s="2945"/>
      <c r="W82" s="2945"/>
      <c r="X82" s="2945"/>
      <c r="Y82" s="2945"/>
      <c r="Z82" s="2945"/>
      <c r="AA82" s="2945"/>
      <c r="AB82" s="2945"/>
      <c r="AC82" s="2945"/>
    </row>
    <row r="83" spans="1:29" ht="15" thickTop="1">
      <c r="A83" s="555"/>
      <c r="B83" s="494" t="s">
        <v>2377</v>
      </c>
      <c r="C83" s="3233" t="s">
        <v>3166</v>
      </c>
      <c r="D83" s="3233" t="s">
        <v>3165</v>
      </c>
      <c r="E83" s="3234" t="s">
        <v>3167</v>
      </c>
      <c r="F83" s="539"/>
      <c r="G83" s="539"/>
      <c r="H83" s="539"/>
      <c r="I83" s="539"/>
      <c r="J83" s="539"/>
      <c r="K83" s="540"/>
      <c r="L83" s="541"/>
      <c r="M83" s="542"/>
      <c r="N83" s="2951"/>
      <c r="O83" s="2951"/>
      <c r="P83" s="2960"/>
      <c r="Q83" s="2937"/>
      <c r="R83" s="2923"/>
      <c r="S83" s="2923"/>
      <c r="T83" s="2923"/>
      <c r="U83" s="2923"/>
      <c r="V83" s="2923"/>
      <c r="W83" s="2923"/>
      <c r="X83" s="2923"/>
      <c r="Y83" s="2923"/>
      <c r="Z83" s="2923"/>
      <c r="AA83" s="2923"/>
      <c r="AB83" s="2923"/>
      <c r="AC83" s="2923"/>
    </row>
    <row r="84" spans="1:29" ht="15.75" thickBot="1">
      <c r="A84" s="490"/>
      <c r="B84" s="499"/>
      <c r="C84" s="500">
        <v>100</v>
      </c>
      <c r="D84" s="500">
        <f t="shared" ref="D84:M84" si="18">C84-$K28</f>
        <v>99</v>
      </c>
      <c r="E84" s="500">
        <f t="shared" si="18"/>
        <v>98</v>
      </c>
      <c r="F84" s="500">
        <f t="shared" si="18"/>
        <v>97</v>
      </c>
      <c r="G84" s="500">
        <f t="shared" si="18"/>
        <v>96</v>
      </c>
      <c r="H84" s="500">
        <f t="shared" si="18"/>
        <v>95</v>
      </c>
      <c r="I84" s="500">
        <f t="shared" si="18"/>
        <v>94</v>
      </c>
      <c r="J84" s="500">
        <f t="shared" si="18"/>
        <v>93</v>
      </c>
      <c r="K84" s="500">
        <f t="shared" si="18"/>
        <v>92</v>
      </c>
      <c r="L84" s="500">
        <f t="shared" si="18"/>
        <v>91</v>
      </c>
      <c r="M84" s="501">
        <f t="shared" si="18"/>
        <v>90</v>
      </c>
      <c r="N84" s="2952"/>
      <c r="O84" s="2952"/>
      <c r="P84" s="2960"/>
      <c r="Q84" s="2937"/>
      <c r="R84" s="2923"/>
      <c r="S84" s="2923"/>
      <c r="T84" s="2923"/>
      <c r="U84" s="2923"/>
      <c r="V84" s="2923"/>
      <c r="W84" s="2923"/>
      <c r="X84" s="2923"/>
      <c r="Y84" s="2923"/>
      <c r="Z84" s="2923"/>
      <c r="AA84" s="2923"/>
      <c r="AB84" s="2923"/>
      <c r="AC84" s="2923"/>
    </row>
    <row r="85" spans="1:29" ht="15" thickTop="1">
      <c r="A85" s="555"/>
      <c r="B85" s="494" t="s">
        <v>2492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1"/>
      <c r="O85" s="2951"/>
      <c r="P85" s="2960"/>
      <c r="Q85" s="2937"/>
      <c r="R85" s="2923"/>
      <c r="S85" s="2923"/>
      <c r="T85" s="2923"/>
      <c r="U85" s="2923"/>
      <c r="V85" s="2923"/>
      <c r="W85" s="2923"/>
      <c r="X85" s="2923"/>
      <c r="Y85" s="2923"/>
      <c r="Z85" s="2923"/>
      <c r="AA85" s="2923"/>
      <c r="AB85" s="2923"/>
      <c r="AC85" s="2923"/>
    </row>
    <row r="86" spans="1:29">
      <c r="A86" s="555"/>
      <c r="B86" s="502"/>
      <c r="C86" s="559">
        <v>0.5</v>
      </c>
      <c r="D86" s="559">
        <v>0.6</v>
      </c>
      <c r="E86" s="559">
        <v>0.7</v>
      </c>
      <c r="F86" s="559">
        <v>0.8</v>
      </c>
      <c r="G86" s="559">
        <v>0.9</v>
      </c>
      <c r="H86" s="559">
        <v>1.0001</v>
      </c>
      <c r="I86" s="578"/>
      <c r="J86" s="578"/>
      <c r="K86" s="579"/>
      <c r="L86" s="580"/>
      <c r="M86" s="581"/>
      <c r="N86" s="2951"/>
      <c r="O86" s="2951"/>
      <c r="P86" s="2960"/>
      <c r="Q86" s="2937"/>
      <c r="R86" s="2923"/>
      <c r="S86" s="2923"/>
      <c r="T86" s="2923"/>
      <c r="U86" s="2923"/>
      <c r="V86" s="2923"/>
      <c r="W86" s="2923"/>
      <c r="X86" s="2923"/>
      <c r="Y86" s="2923"/>
      <c r="Z86" s="2923"/>
      <c r="AA86" s="2923"/>
      <c r="AB86" s="2923"/>
      <c r="AC86" s="2923"/>
    </row>
    <row r="87" spans="1:29" ht="15.75" thickBot="1">
      <c r="A87" s="490"/>
      <c r="B87" s="499"/>
      <c r="C87" s="538">
        <v>100</v>
      </c>
      <c r="D87" s="500">
        <f>C87+$K$29</f>
        <v>103</v>
      </c>
      <c r="E87" s="500">
        <f t="shared" ref="E87:M87" si="19">D87+$K$29</f>
        <v>106</v>
      </c>
      <c r="F87" s="500">
        <f t="shared" si="19"/>
        <v>109</v>
      </c>
      <c r="G87" s="500">
        <f t="shared" si="19"/>
        <v>112</v>
      </c>
      <c r="H87" s="500">
        <f t="shared" si="19"/>
        <v>115</v>
      </c>
      <c r="I87" s="500">
        <f t="shared" si="19"/>
        <v>118</v>
      </c>
      <c r="J87" s="500">
        <f t="shared" si="19"/>
        <v>121</v>
      </c>
      <c r="K87" s="500">
        <f t="shared" si="19"/>
        <v>124</v>
      </c>
      <c r="L87" s="500">
        <f t="shared" si="19"/>
        <v>127</v>
      </c>
      <c r="M87" s="500">
        <f t="shared" si="19"/>
        <v>130</v>
      </c>
      <c r="N87" s="2952"/>
      <c r="O87" s="2952"/>
      <c r="P87" s="2960"/>
      <c r="Q87" s="2937"/>
      <c r="R87" s="2923"/>
      <c r="S87" s="2923"/>
      <c r="T87" s="2923"/>
      <c r="U87" s="2923"/>
      <c r="V87" s="2923"/>
      <c r="W87" s="2923"/>
      <c r="X87" s="2923"/>
      <c r="Y87" s="2923"/>
      <c r="Z87" s="2923"/>
      <c r="AA87" s="2923"/>
      <c r="AB87" s="2923"/>
      <c r="AC87" s="2923"/>
    </row>
    <row r="88" spans="1:29" ht="15" thickTop="1">
      <c r="A88" s="555"/>
      <c r="B88" s="502" t="s">
        <v>2493</v>
      </c>
      <c r="C88" s="3235" t="s">
        <v>3169</v>
      </c>
      <c r="D88" s="486"/>
      <c r="E88" s="486"/>
      <c r="F88" s="486"/>
      <c r="G88" s="486"/>
      <c r="H88" s="486"/>
      <c r="I88" s="486"/>
      <c r="J88" s="486"/>
      <c r="K88" s="487"/>
      <c r="L88" s="488"/>
      <c r="M88" s="489"/>
      <c r="N88" s="2951"/>
      <c r="O88" s="2951"/>
      <c r="P88" s="2960"/>
      <c r="Q88" s="2937"/>
      <c r="R88" s="2923"/>
      <c r="S88" s="2923"/>
      <c r="T88" s="2923"/>
      <c r="U88" s="2923"/>
      <c r="V88" s="2923"/>
      <c r="W88" s="2923"/>
      <c r="X88" s="2923"/>
      <c r="Y88" s="2923"/>
      <c r="Z88" s="2923"/>
      <c r="AA88" s="2923"/>
      <c r="AB88" s="2923"/>
      <c r="AC88" s="2923"/>
    </row>
    <row r="89" spans="1:29" ht="15.75" thickBot="1">
      <c r="A89" s="490"/>
      <c r="B89" s="499"/>
      <c r="C89" s="538">
        <v>100</v>
      </c>
      <c r="D89" s="500">
        <f t="shared" ref="D89:M89" si="20">C89+$K30</f>
        <v>102</v>
      </c>
      <c r="E89" s="500">
        <f t="shared" si="20"/>
        <v>104</v>
      </c>
      <c r="F89" s="500">
        <f t="shared" si="20"/>
        <v>106</v>
      </c>
      <c r="G89" s="500">
        <f t="shared" si="20"/>
        <v>108</v>
      </c>
      <c r="H89" s="500">
        <f t="shared" si="20"/>
        <v>110</v>
      </c>
      <c r="I89" s="500">
        <f t="shared" si="20"/>
        <v>112</v>
      </c>
      <c r="J89" s="500">
        <f t="shared" si="20"/>
        <v>114</v>
      </c>
      <c r="K89" s="500">
        <f t="shared" si="20"/>
        <v>116</v>
      </c>
      <c r="L89" s="500">
        <f t="shared" si="20"/>
        <v>118</v>
      </c>
      <c r="M89" s="500">
        <f t="shared" si="20"/>
        <v>120</v>
      </c>
      <c r="N89" s="2952"/>
      <c r="O89" s="2952"/>
      <c r="P89" s="2960"/>
      <c r="Q89" s="2937"/>
      <c r="R89" s="2923"/>
      <c r="S89" s="2923"/>
      <c r="T89" s="2923"/>
      <c r="U89" s="2923"/>
      <c r="V89" s="2923"/>
      <c r="W89" s="2923"/>
      <c r="X89" s="2923"/>
      <c r="Y89" s="2923"/>
      <c r="Z89" s="2923"/>
      <c r="AA89" s="2923"/>
      <c r="AB89" s="2923"/>
      <c r="AC89" s="2923"/>
    </row>
    <row r="90" spans="1:29" s="429" customFormat="1" ht="15" thickTop="1">
      <c r="A90" s="549"/>
      <c r="B90" s="494" t="s">
        <v>2494</v>
      </c>
      <c r="C90" s="534" t="str">
        <f>C91&amp;"(含)"&amp;"-"&amp;D91</f>
        <v>20000(含)-40000</v>
      </c>
      <c r="D90" s="534" t="str">
        <f t="shared" ref="D90:L90" si="21">D91&amp;"(含)"&amp;"-"&amp;E91</f>
        <v>40000(含)-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3"/>
      <c r="O90" s="2953"/>
      <c r="P90" s="2961"/>
      <c r="Q90" s="2944"/>
      <c r="R90" s="2945"/>
      <c r="S90" s="2945"/>
      <c r="T90" s="2945"/>
      <c r="U90" s="2945"/>
      <c r="V90" s="2945"/>
      <c r="W90" s="2945"/>
      <c r="X90" s="2945"/>
      <c r="Y90" s="2945"/>
      <c r="Z90" s="2945"/>
      <c r="AA90" s="2945"/>
      <c r="AB90" s="2945"/>
      <c r="AC90" s="2945"/>
    </row>
    <row r="91" spans="1:29" s="429" customFormat="1">
      <c r="A91" s="549"/>
      <c r="B91" s="502"/>
      <c r="C91" s="551">
        <v>20000</v>
      </c>
      <c r="D91" s="551">
        <v>40000</v>
      </c>
      <c r="E91" s="551"/>
      <c r="F91" s="551"/>
      <c r="G91" s="551"/>
      <c r="H91" s="551"/>
      <c r="I91" s="551"/>
      <c r="J91" s="552"/>
      <c r="K91" s="552"/>
      <c r="L91" s="553"/>
      <c r="M91" s="554"/>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16">
        <v>100</v>
      </c>
      <c r="D92" s="492">
        <v>99</v>
      </c>
      <c r="E92" s="492">
        <v>98</v>
      </c>
      <c r="F92" s="492">
        <v>97</v>
      </c>
      <c r="G92" s="492"/>
      <c r="H92" s="492"/>
      <c r="I92" s="492"/>
      <c r="J92" s="492"/>
      <c r="K92" s="492"/>
      <c r="L92" s="492"/>
      <c r="M92" s="493"/>
      <c r="N92" s="2953"/>
      <c r="O92" s="2953"/>
      <c r="P92" s="2961"/>
      <c r="Q92" s="2944"/>
      <c r="R92" s="2945"/>
      <c r="S92" s="2945"/>
      <c r="T92" s="2945"/>
      <c r="U92" s="2945"/>
      <c r="V92" s="2945"/>
      <c r="W92" s="2945"/>
      <c r="X92" s="2945"/>
      <c r="Y92" s="2945"/>
      <c r="Z92" s="2945"/>
      <c r="AA92" s="2945"/>
      <c r="AB92" s="2945"/>
      <c r="AC92" s="2945"/>
    </row>
    <row r="93" spans="1:29" ht="15" thickTop="1">
      <c r="A93" s="555"/>
      <c r="B93" s="494" t="s">
        <v>2495</v>
      </c>
      <c r="C93" s="3233" t="s">
        <v>3172</v>
      </c>
      <c r="D93" s="3233" t="s">
        <v>3174</v>
      </c>
      <c r="E93" s="3234" t="s">
        <v>3175</v>
      </c>
      <c r="F93" s="539"/>
      <c r="G93" s="539"/>
      <c r="H93" s="539"/>
      <c r="I93" s="539"/>
      <c r="J93" s="539"/>
      <c r="K93" s="540"/>
      <c r="L93" s="541"/>
      <c r="M93" s="542"/>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00">
        <v>100</v>
      </c>
      <c r="D94" s="500">
        <f t="shared" ref="D94:M94" si="22">C94-$K32</f>
        <v>98</v>
      </c>
      <c r="E94" s="500">
        <f t="shared" si="22"/>
        <v>96</v>
      </c>
      <c r="F94" s="500">
        <f t="shared" si="22"/>
        <v>94</v>
      </c>
      <c r="G94" s="500">
        <f t="shared" si="22"/>
        <v>92</v>
      </c>
      <c r="H94" s="500">
        <f t="shared" si="22"/>
        <v>90</v>
      </c>
      <c r="I94" s="500">
        <f t="shared" si="22"/>
        <v>88</v>
      </c>
      <c r="J94" s="500">
        <f t="shared" si="22"/>
        <v>86</v>
      </c>
      <c r="K94" s="500">
        <f t="shared" si="22"/>
        <v>84</v>
      </c>
      <c r="L94" s="500">
        <f t="shared" si="22"/>
        <v>82</v>
      </c>
      <c r="M94" s="501">
        <f t="shared" si="22"/>
        <v>80</v>
      </c>
      <c r="N94" s="2952"/>
      <c r="O94" s="2952"/>
      <c r="P94" s="2960"/>
      <c r="Q94" s="2937"/>
      <c r="R94" s="2923"/>
      <c r="S94" s="2923"/>
      <c r="T94" s="2923"/>
      <c r="U94" s="2923"/>
      <c r="V94" s="2923"/>
      <c r="W94" s="2923"/>
      <c r="X94" s="2923"/>
      <c r="Y94" s="2923"/>
      <c r="Z94" s="2923"/>
      <c r="AA94" s="2923"/>
      <c r="AB94" s="2923"/>
      <c r="AC94" s="2923"/>
    </row>
    <row r="95" spans="1:29" ht="15" thickTop="1">
      <c r="A95" s="555"/>
      <c r="B95" s="494" t="s">
        <v>2496</v>
      </c>
      <c r="C95" s="486"/>
      <c r="D95" s="486"/>
      <c r="E95" s="486"/>
      <c r="F95" s="486"/>
      <c r="G95" s="486"/>
      <c r="H95" s="486"/>
      <c r="I95" s="486"/>
      <c r="J95" s="486"/>
      <c r="K95" s="487"/>
      <c r="L95" s="488"/>
      <c r="M95" s="489"/>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2"/>
      <c r="O96" s="2952"/>
      <c r="P96" s="2960"/>
      <c r="Q96" s="2937"/>
      <c r="R96" s="2923"/>
      <c r="S96" s="2923"/>
      <c r="T96" s="2923"/>
      <c r="U96" s="2923"/>
      <c r="V96" s="2923"/>
      <c r="W96" s="2923"/>
      <c r="X96" s="2923"/>
      <c r="Y96" s="2923"/>
      <c r="Z96" s="2923"/>
      <c r="AA96" s="2923"/>
      <c r="AB96" s="2923"/>
      <c r="AC96" s="2923"/>
    </row>
    <row r="97" spans="1:29" ht="15" thickTop="1">
      <c r="A97" s="555"/>
      <c r="B97" s="591" t="str">
        <f>B34</f>
        <v>建筑类型</v>
      </c>
      <c r="C97" s="505"/>
      <c r="D97" s="505"/>
      <c r="E97" s="505"/>
      <c r="F97" s="505"/>
      <c r="G97" s="510"/>
      <c r="H97" s="511"/>
      <c r="I97" s="511"/>
      <c r="J97" s="511"/>
      <c r="K97" s="511"/>
      <c r="L97" s="512"/>
      <c r="M97" s="513"/>
      <c r="N97" s="2952"/>
      <c r="O97" s="2952"/>
      <c r="P97" s="2965"/>
      <c r="Q97" s="2966"/>
      <c r="R97" s="2923"/>
      <c r="S97" s="2923"/>
      <c r="T97" s="2923"/>
      <c r="U97" s="2923"/>
      <c r="V97" s="2923"/>
      <c r="W97" s="2923"/>
      <c r="X97" s="2923"/>
      <c r="Y97" s="2923"/>
      <c r="Z97" s="2923"/>
      <c r="AA97" s="2923"/>
      <c r="AB97" s="2923"/>
      <c r="AC97" s="2923"/>
    </row>
    <row r="98" spans="1:29" ht="15.75" thickBot="1">
      <c r="A98" s="490"/>
      <c r="B98" s="499"/>
      <c r="C98" s="516"/>
      <c r="D98" s="492"/>
      <c r="E98" s="492"/>
      <c r="F98" s="492"/>
      <c r="G98" s="516"/>
      <c r="H98" s="518"/>
      <c r="I98" s="518"/>
      <c r="J98" s="518"/>
      <c r="K98" s="518"/>
      <c r="L98" s="518"/>
      <c r="M98" s="519"/>
      <c r="N98" s="2952"/>
      <c r="O98" s="2952"/>
      <c r="P98" s="2960"/>
      <c r="Q98" s="2937"/>
      <c r="R98" s="2923"/>
      <c r="S98" s="2923"/>
      <c r="T98" s="2923"/>
      <c r="U98" s="2923"/>
      <c r="V98" s="2923"/>
      <c r="W98" s="2923"/>
      <c r="X98" s="2923"/>
      <c r="Y98" s="2923"/>
      <c r="Z98" s="2923"/>
      <c r="AA98" s="2923"/>
      <c r="AB98" s="2923"/>
      <c r="AC98" s="2923"/>
    </row>
    <row r="99" spans="1:29" s="429" customFormat="1" ht="15" thickTop="1">
      <c r="A99" s="549"/>
      <c r="B99" s="494">
        <f>B35</f>
        <v>111</v>
      </c>
      <c r="C99" s="505"/>
      <c r="D99" s="505"/>
      <c r="E99" s="505"/>
      <c r="F99" s="505"/>
      <c r="G99" s="510"/>
      <c r="H99" s="511"/>
      <c r="I99" s="511"/>
      <c r="J99" s="511"/>
      <c r="K99" s="511"/>
      <c r="L99" s="512"/>
      <c r="M99" s="513"/>
      <c r="N99" s="2953"/>
      <c r="O99" s="2953"/>
      <c r="P99" s="2961"/>
      <c r="Q99" s="2944"/>
      <c r="R99" s="2945"/>
      <c r="S99" s="2945"/>
      <c r="T99" s="2945"/>
      <c r="U99" s="2945"/>
      <c r="V99" s="2945"/>
      <c r="W99" s="2945"/>
      <c r="X99" s="2945"/>
      <c r="Y99" s="2945"/>
      <c r="Z99" s="2945"/>
      <c r="AA99" s="2945"/>
      <c r="AB99" s="2945"/>
      <c r="AC99" s="2945"/>
    </row>
    <row r="100" spans="1:29" s="429" customFormat="1" ht="15.75" thickBot="1">
      <c r="A100" s="509"/>
      <c r="B100" s="491"/>
      <c r="C100" s="516"/>
      <c r="D100" s="492"/>
      <c r="E100" s="492"/>
      <c r="F100" s="492"/>
      <c r="G100" s="516"/>
      <c r="H100" s="518"/>
      <c r="I100" s="518"/>
      <c r="J100" s="518"/>
      <c r="K100" s="518"/>
      <c r="L100" s="518"/>
      <c r="M100" s="519"/>
      <c r="N100" s="2953"/>
      <c r="O100" s="2953"/>
      <c r="P100" s="2961"/>
      <c r="Q100" s="2944"/>
      <c r="R100" s="2945"/>
      <c r="S100" s="2945"/>
      <c r="T100" s="2945"/>
      <c r="U100" s="2945"/>
      <c r="V100" s="2945"/>
      <c r="W100" s="2945"/>
      <c r="X100" s="2945"/>
      <c r="Y100" s="2945"/>
      <c r="Z100" s="2945"/>
      <c r="AA100" s="2945"/>
      <c r="AB100" s="2945"/>
      <c r="AC100" s="2945"/>
    </row>
    <row r="101" spans="1:29" ht="15" thickTop="1">
      <c r="A101" s="555"/>
      <c r="B101" s="494">
        <f>B36</f>
        <v>111</v>
      </c>
      <c r="C101" s="510"/>
      <c r="D101" s="510"/>
      <c r="E101" s="510"/>
      <c r="F101" s="510"/>
      <c r="G101" s="510"/>
      <c r="H101" s="511"/>
      <c r="I101" s="511"/>
      <c r="J101" s="511"/>
      <c r="K101" s="511"/>
      <c r="L101" s="512"/>
      <c r="M101" s="513"/>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16"/>
      <c r="D102" s="516"/>
      <c r="E102" s="516"/>
      <c r="F102" s="516"/>
      <c r="G102" s="516"/>
      <c r="H102" s="518"/>
      <c r="I102" s="518"/>
      <c r="J102" s="518"/>
      <c r="K102" s="518"/>
      <c r="L102" s="518"/>
      <c r="M102" s="519"/>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90" priority="18" stopIfTrue="1" operator="containsText" text="超过">
      <formula>NOT(ISERROR(SEARCH("超过",F42)))</formula>
    </cfRule>
  </conditionalFormatting>
  <conditionalFormatting sqref="J44">
    <cfRule type="containsText" dxfId="189" priority="17" stopIfTrue="1" operator="containsText" text="超过">
      <formula>NOT(ISERROR(SEARCH("超过",J44)))</formula>
    </cfRule>
  </conditionalFormatting>
  <conditionalFormatting sqref="H44">
    <cfRule type="containsText" dxfId="188" priority="16" stopIfTrue="1" operator="containsText" text="超过">
      <formula>NOT(ISERROR(SEARCH("超过",H44)))</formula>
    </cfRule>
  </conditionalFormatting>
  <conditionalFormatting sqref="F44">
    <cfRule type="containsText" dxfId="187" priority="15" stopIfTrue="1" operator="containsText" text="超过">
      <formula>NOT(ISERROR(SEARCH("超过",F44)))</formula>
    </cfRule>
  </conditionalFormatting>
  <conditionalFormatting sqref="F43 H43 J43">
    <cfRule type="containsText" dxfId="186" priority="14" stopIfTrue="1" operator="containsText" text="超过">
      <formula>NOT(ISERROR(SEARCH("超过",F43)))</formula>
    </cfRule>
  </conditionalFormatting>
  <conditionalFormatting sqref="E42">
    <cfRule type="expression" dxfId="185" priority="13" stopIfTrue="1">
      <formula>$F$42="超过30%"</formula>
    </cfRule>
  </conditionalFormatting>
  <conditionalFormatting sqref="G44">
    <cfRule type="expression" dxfId="184" priority="12" stopIfTrue="1">
      <formula>$H$54+$H$44="超过30%"</formula>
    </cfRule>
  </conditionalFormatting>
  <conditionalFormatting sqref="E43">
    <cfRule type="expression" dxfId="183" priority="11" stopIfTrue="1">
      <formula>$F$43="超过20%"</formula>
    </cfRule>
  </conditionalFormatting>
  <conditionalFormatting sqref="E44">
    <cfRule type="expression" dxfId="182" priority="10" stopIfTrue="1">
      <formula>$F$44="超过30%"</formula>
    </cfRule>
  </conditionalFormatting>
  <conditionalFormatting sqref="G42">
    <cfRule type="expression" dxfId="181" priority="9" stopIfTrue="1">
      <formula>$H$52+$H$42="超过30%"</formula>
    </cfRule>
  </conditionalFormatting>
  <conditionalFormatting sqref="G43">
    <cfRule type="expression" dxfId="180" priority="8" stopIfTrue="1">
      <formula>$H$43="超过20%"</formula>
    </cfRule>
  </conditionalFormatting>
  <conditionalFormatting sqref="I42">
    <cfRule type="expression" dxfId="179" priority="7" stopIfTrue="1">
      <formula>$J$52+$J$42="超过30%"</formula>
    </cfRule>
  </conditionalFormatting>
  <conditionalFormatting sqref="I43">
    <cfRule type="expression" dxfId="178" priority="6" stopIfTrue="1">
      <formula>$J$53+$J$43="超过20%"</formula>
    </cfRule>
  </conditionalFormatting>
  <conditionalFormatting sqref="I44">
    <cfRule type="expression" dxfId="177" priority="5" stopIfTrue="1">
      <formula>$J$44="超过30%"</formula>
    </cfRule>
  </conditionalFormatting>
  <conditionalFormatting sqref="F38">
    <cfRule type="expression" dxfId="176" priority="4">
      <formula>$D$38="简单平均"</formula>
    </cfRule>
  </conditionalFormatting>
  <conditionalFormatting sqref="H38">
    <cfRule type="expression" dxfId="175" priority="3">
      <formula>$D$38="简单平均"</formula>
    </cfRule>
  </conditionalFormatting>
  <conditionalFormatting sqref="J38">
    <cfRule type="expression" dxfId="174" priority="2">
      <formula>$D$38="简单平均"</formula>
    </cfRule>
  </conditionalFormatting>
  <conditionalFormatting sqref="F7:F36 H7:H36 J7:J36">
    <cfRule type="cellIs" dxfId="173" priority="1" operator="notEqual">
      <formula>100</formula>
    </cfRule>
  </conditionalFormatting>
  <dataValidations count="20">
    <dataValidation type="list" allowBlank="1" showInputMessage="1" showErrorMessage="1" sqref="C10 E10 G10 I10" xr:uid="{00000000-0002-0000-1200-000000000000}">
      <formula1>土地年限区间</formula1>
    </dataValidation>
    <dataValidation type="list" allowBlank="1" showInputMessage="1" showErrorMessage="1" sqref="D1" xr:uid="{00000000-0002-0000-1200-000001000000}">
      <formula1>项目类型</formula1>
    </dataValidation>
    <dataValidation type="list" allowBlank="1" showInputMessage="1" showErrorMessage="1" sqref="G17 C17 E17 I17" xr:uid="{00000000-0002-0000-1200-000002000000}">
      <formula1>公共配套设施</formula1>
    </dataValidation>
    <dataValidation type="list" allowBlank="1" showInputMessage="1" showErrorMessage="1" sqref="G15 E15 C15 I15" xr:uid="{00000000-0002-0000-1200-000003000000}">
      <formula1>交通便捷度</formula1>
    </dataValidation>
    <dataValidation type="list" allowBlank="1" showInputMessage="1" showErrorMessage="1" sqref="C8 E8 G8 I8" xr:uid="{00000000-0002-0000-1200-000004000000}">
      <formula1>车位交易情况</formula1>
    </dataValidation>
    <dataValidation type="list" allowBlank="1" showInputMessage="1" showErrorMessage="1" sqref="E9 G9 I9" xr:uid="{00000000-0002-0000-1200-000005000000}">
      <formula1>车位用途</formula1>
    </dataValidation>
    <dataValidation type="list" allowBlank="1" showInputMessage="1" showErrorMessage="1" sqref="C22 E22 G22 I22" xr:uid="{00000000-0002-0000-1200-000006000000}">
      <formula1>车位楼层</formula1>
    </dataValidation>
    <dataValidation type="list" allowBlank="1" showInputMessage="1" showErrorMessage="1" sqref="C30 E30 G30 I30" xr:uid="{00000000-0002-0000-1200-000007000000}">
      <formula1>车位物业等级</formula1>
    </dataValidation>
    <dataValidation type="list" allowBlank="1" showInputMessage="1" showErrorMessage="1" sqref="C32 E32 G32 I32" xr:uid="{00000000-0002-0000-1200-000008000000}">
      <formula1>车位类型</formula1>
    </dataValidation>
    <dataValidation type="list" allowBlank="1" showInputMessage="1" showErrorMessage="1" sqref="C33 E33 G33 I33" xr:uid="{00000000-0002-0000-1200-000009000000}">
      <formula1>是否直接入户</formula1>
    </dataValidation>
    <dataValidation type="list" allowBlank="1" showInputMessage="1" showErrorMessage="1" sqref="B1" xr:uid="{00000000-0002-0000-1200-00000A000000}">
      <formula1>地类判定</formula1>
    </dataValidation>
    <dataValidation type="list" allowBlank="1" showInputMessage="1" showErrorMessage="1" sqref="I26 E26 G26" xr:uid="{00000000-0002-0000-1200-00000B000000}">
      <formula1>车位配套类型</formula1>
    </dataValidation>
    <dataValidation type="list" allowBlank="1" showInputMessage="1" showErrorMessage="1" sqref="C28 E28 G28 I28" xr:uid="{00000000-0002-0000-1200-00000C000000}">
      <formula1>车位公共部分装修</formula1>
    </dataValidation>
    <dataValidation type="list" allowBlank="1" showInputMessage="1" showErrorMessage="1" sqref="B37" xr:uid="{00000000-0002-0000-1200-00000D000000}">
      <formula1>"元/平方米,元/车位"</formula1>
    </dataValidation>
    <dataValidation type="list" allowBlank="1" showInputMessage="1" showErrorMessage="1" sqref="C21 E21 G21 I21" xr:uid="{00000000-0002-0000-1200-00000E000000}">
      <formula1>环境</formula1>
    </dataValidation>
    <dataValidation type="list" allowBlank="1" showInputMessage="1" showErrorMessage="1" sqref="C19 E19 G19 I19" xr:uid="{00000000-0002-0000-1200-00000F000000}">
      <formula1>基础设施水平</formula1>
    </dataValidation>
    <dataValidation type="list" allowBlank="1" showInputMessage="1" showErrorMessage="1" sqref="F1" xr:uid="{00000000-0002-0000-1200-000010000000}">
      <formula1>"售价,租金"</formula1>
    </dataValidation>
    <dataValidation type="list" allowBlank="1" showInputMessage="1" showErrorMessage="1" sqref="C2" xr:uid="{00000000-0002-0000-1200-000011000000}">
      <formula1>"需扣减承租人权益,——"</formula1>
    </dataValidation>
    <dataValidation type="list" allowBlank="1" showInputMessage="1" showErrorMessage="1" sqref="F2" xr:uid="{00000000-0002-0000-1200-000012000000}">
      <formula1>估价方法</formula1>
    </dataValidation>
    <dataValidation type="list" allowBlank="1" showInputMessage="1" showErrorMessage="1" sqref="D38" xr:uid="{00000000-0002-0000-12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0" t="str">
        <f>项目基本情况!B1</f>
        <v>北京市房地产市场价值预评估</v>
      </c>
      <c r="C37" s="3260"/>
      <c r="D37" s="3260"/>
      <c r="E37" s="3260"/>
      <c r="F37" s="3260"/>
      <c r="G37" s="3260"/>
      <c r="H37" s="3260"/>
      <c r="I37" s="3260"/>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 ca="1">项目基本情况!K4</f>
        <v>陈颖（注册号：0)、叶凌（注册号：1119970111)</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 zoomScale="90" zoomScaleNormal="100" zoomScaleSheetLayoutView="90" zoomScalePageLayoutView="80" workbookViewId="0">
      <selection activeCell="K19" sqref="K19"/>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3136</v>
      </c>
      <c r="D1" s="1902"/>
      <c r="E1" s="1902"/>
      <c r="F1" s="1904" t="s">
        <v>1889</v>
      </c>
      <c r="G1" s="1715" t="s">
        <v>3240</v>
      </c>
      <c r="H1" s="1905" t="str">
        <f>IF(G1="现房","——","估价对象范围")</f>
        <v>——</v>
      </c>
      <c r="I1" s="1906" t="s">
        <v>3241</v>
      </c>
    </row>
    <row r="2" spans="1:12" ht="21.75" customHeight="1" thickBot="1">
      <c r="A2" s="3430" t="str">
        <f>项目基本情况!S2</f>
        <v>北京市房地产</v>
      </c>
      <c r="B2" s="3431"/>
      <c r="C2" s="3431"/>
      <c r="D2" s="3431"/>
      <c r="E2" s="3431"/>
      <c r="F2" s="3431"/>
      <c r="G2" s="3431"/>
      <c r="H2" s="3431"/>
      <c r="I2" s="3432"/>
    </row>
    <row r="3" spans="1:12" ht="12.75">
      <c r="A3" s="3434" t="s">
        <v>1890</v>
      </c>
      <c r="B3" s="3435"/>
      <c r="C3" s="3435"/>
      <c r="D3" s="3435"/>
      <c r="E3" s="3435"/>
      <c r="F3" s="3435"/>
      <c r="G3" s="3435"/>
      <c r="H3" s="3435"/>
      <c r="I3" s="3435"/>
    </row>
    <row r="4" spans="1:12" ht="14.25">
      <c r="A4" s="1909" t="s">
        <v>1891</v>
      </c>
      <c r="B4" s="1910" t="s">
        <v>1892</v>
      </c>
      <c r="C4" s="1911" t="s">
        <v>3239</v>
      </c>
      <c r="D4" s="1911" t="s">
        <v>3144</v>
      </c>
      <c r="E4" s="3436" t="s">
        <v>1893</v>
      </c>
      <c r="F4" s="3437"/>
      <c r="G4" s="3437"/>
      <c r="H4" s="3437"/>
      <c r="I4" s="3438"/>
      <c r="K4" s="150" t="str">
        <f>IF(ISNUMBER(FIND("比较法",'结果表-车位'!C4)),"比较法",IF(ISNUMBER(FIND("成本法",'结果表-车位'!C4)),"成本法",IF(ISNUMBER(FIND("假设开发法",'结果表-车位'!C4)),"假设开发法",IF(ISNUMBER(FIND("收益法",'结果表-车位'!C4)),"收益法","基准地价系数修正法"))))</f>
        <v>比较法</v>
      </c>
      <c r="L4" s="150"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410" t="s">
        <v>1894</v>
      </c>
      <c r="B5" s="3364">
        <v>25</v>
      </c>
      <c r="C5" s="3413">
        <v>70</v>
      </c>
      <c r="D5" s="3433">
        <f>100-C5</f>
        <v>30</v>
      </c>
      <c r="E5" s="136" t="s">
        <v>1895</v>
      </c>
      <c r="F5" s="1912"/>
      <c r="G5" s="1912"/>
      <c r="H5" s="1912"/>
      <c r="I5" s="1526"/>
    </row>
    <row r="6" spans="1:12" ht="12.75">
      <c r="A6" s="3410"/>
      <c r="B6" s="3364"/>
      <c r="C6" s="3414"/>
      <c r="D6" s="3433"/>
      <c r="E6" s="136" t="s">
        <v>1896</v>
      </c>
      <c r="F6" s="1912"/>
      <c r="G6" s="1912"/>
      <c r="H6" s="1912"/>
      <c r="I6" s="1526"/>
    </row>
    <row r="7" spans="1:12" ht="12.75">
      <c r="A7" s="3410"/>
      <c r="B7" s="3364"/>
      <c r="C7" s="3415"/>
      <c r="D7" s="3433"/>
      <c r="E7" s="136" t="s">
        <v>1897</v>
      </c>
      <c r="F7" s="1912"/>
      <c r="G7" s="1912"/>
      <c r="H7" s="1912"/>
      <c r="I7" s="1526"/>
    </row>
    <row r="8" spans="1:12" ht="12.75">
      <c r="A8" s="3410" t="s">
        <v>1898</v>
      </c>
      <c r="B8" s="3364">
        <v>15</v>
      </c>
      <c r="C8" s="3413"/>
      <c r="D8" s="3433"/>
      <c r="E8" s="136" t="s">
        <v>1899</v>
      </c>
      <c r="F8" s="1912"/>
      <c r="G8" s="1912"/>
      <c r="H8" s="1912"/>
      <c r="I8" s="1526"/>
    </row>
    <row r="9" spans="1:12" ht="12.75">
      <c r="A9" s="3410"/>
      <c r="B9" s="3364"/>
      <c r="C9" s="3415"/>
      <c r="D9" s="3433"/>
      <c r="E9" s="136" t="s">
        <v>1900</v>
      </c>
      <c r="F9" s="1912"/>
      <c r="G9" s="1912"/>
      <c r="H9" s="1912"/>
      <c r="I9" s="1526"/>
    </row>
    <row r="10" spans="1:12" ht="12.75">
      <c r="A10" s="3410" t="s">
        <v>1901</v>
      </c>
      <c r="B10" s="3364">
        <v>15</v>
      </c>
      <c r="C10" s="3413"/>
      <c r="D10" s="3433"/>
      <c r="E10" s="136" t="s">
        <v>1902</v>
      </c>
      <c r="F10" s="1912"/>
      <c r="G10" s="1912"/>
      <c r="H10" s="1912"/>
      <c r="I10" s="1526"/>
    </row>
    <row r="11" spans="1:12" ht="12.75">
      <c r="A11" s="3410"/>
      <c r="B11" s="3364"/>
      <c r="C11" s="3415"/>
      <c r="D11" s="3433"/>
      <c r="E11" s="136" t="s">
        <v>1903</v>
      </c>
      <c r="F11" s="1912"/>
      <c r="G11" s="1912"/>
      <c r="H11" s="1912"/>
      <c r="I11" s="1526"/>
    </row>
    <row r="12" spans="1:12" ht="12.75">
      <c r="A12" s="3410" t="s">
        <v>1904</v>
      </c>
      <c r="B12" s="3364">
        <v>15</v>
      </c>
      <c r="C12" s="3413"/>
      <c r="D12" s="3433"/>
      <c r="E12" s="136" t="s">
        <v>1905</v>
      </c>
      <c r="F12" s="1912"/>
      <c r="G12" s="1912"/>
      <c r="H12" s="1912"/>
      <c r="I12" s="1526"/>
    </row>
    <row r="13" spans="1:12" ht="12.75">
      <c r="A13" s="3410"/>
      <c r="B13" s="3364"/>
      <c r="C13" s="3415"/>
      <c r="D13" s="3433"/>
      <c r="E13" s="136" t="s">
        <v>1906</v>
      </c>
      <c r="F13" s="1912"/>
      <c r="G13" s="1912"/>
      <c r="H13" s="1912"/>
      <c r="I13" s="1526"/>
    </row>
    <row r="14" spans="1:12" ht="12.75">
      <c r="A14" s="3410" t="s">
        <v>1907</v>
      </c>
      <c r="B14" s="3364">
        <v>30</v>
      </c>
      <c r="C14" s="3413"/>
      <c r="D14" s="3433"/>
      <c r="E14" s="136" t="s">
        <v>1908</v>
      </c>
      <c r="F14" s="1912"/>
      <c r="G14" s="1912"/>
      <c r="H14" s="1912"/>
      <c r="I14" s="1526"/>
    </row>
    <row r="15" spans="1:12" ht="12.75">
      <c r="A15" s="3410"/>
      <c r="B15" s="3364"/>
      <c r="C15" s="3414"/>
      <c r="D15" s="3433"/>
      <c r="E15" s="136" t="s">
        <v>1909</v>
      </c>
      <c r="F15" s="1912"/>
      <c r="G15" s="1912"/>
      <c r="H15" s="1912"/>
      <c r="I15" s="1526"/>
    </row>
    <row r="16" spans="1:12" ht="12.75">
      <c r="A16" s="3410"/>
      <c r="B16" s="3364"/>
      <c r="C16" s="3415"/>
      <c r="D16" s="343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20" t="s">
        <v>2811</v>
      </c>
      <c r="F18" s="3421"/>
      <c r="G18" s="3421"/>
      <c r="H18" s="3421"/>
      <c r="I18" s="3421"/>
      <c r="K18" s="307" t="s">
        <v>1915</v>
      </c>
      <c r="L18" s="307">
        <f>IF(C1="",'数据-汇总表'!E3,SUMIF(项目类型,C1,'数据-汇总表'!E17:E26)+SUMIF(项目类型,C1,'数据-汇总表'!I17:I26))</f>
        <v>11780.21</v>
      </c>
      <c r="M18" s="307">
        <f>IF(C1="",'数据-汇总表'!E3,SUMIF(项目类型,C1,'数据-汇总表'!E17:E26))</f>
        <v>11780.21</v>
      </c>
    </row>
    <row r="19" spans="1:36" ht="15">
      <c r="A19" s="1916" t="s">
        <v>1916</v>
      </c>
      <c r="B19" s="1917" t="s">
        <v>1917</v>
      </c>
      <c r="C19" s="139">
        <f ca="1">SUMIF(INDIRECT("'"&amp;C4&amp;"'"&amp;"!A:A"),'结果表-车位'!B19,INDIRECT("'"&amp;C4&amp;"'"&amp;"!B:B"))</f>
        <v>9667</v>
      </c>
      <c r="D19" s="140">
        <f ca="1">SUMIF(INDIRECT("'"&amp;D4&amp;"'"&amp;"!A:A"),'结果表-车位'!B19,INDIRECT("'"&amp;D4&amp;"'"&amp;"!B:B"))</f>
        <v>1482</v>
      </c>
      <c r="E19" s="1916" t="s">
        <v>1918</v>
      </c>
      <c r="F19" s="1917" t="s">
        <v>1917</v>
      </c>
      <c r="G19" s="141">
        <f ca="1">ROUND(C19*$C$18+D19*$D$18,0)</f>
        <v>7212</v>
      </c>
      <c r="H19" s="1918" t="s">
        <v>1919</v>
      </c>
      <c r="I19" s="134"/>
      <c r="K19" s="307" t="s">
        <v>1920</v>
      </c>
      <c r="L19" s="307">
        <f>IF(C1="",'数据-汇总表'!D3,SUMIF(项目类型,C1,'数据-汇总表'!D17:D26)+SUMIF(项目类型,C1,'数据-汇总表'!H17:H27))</f>
        <v>6103.74</v>
      </c>
      <c r="M19" s="307">
        <f>IF(C1="",'数据-汇总表'!D3,SUMIF(项目类型,C1,'数据-汇总表'!D17:D26))</f>
        <v>6103.74</v>
      </c>
    </row>
    <row r="20" spans="1:36" ht="15">
      <c r="A20" s="1919"/>
      <c r="B20" s="1156" t="s">
        <v>1921</v>
      </c>
      <c r="C20" s="142">
        <f ca="1">SUMIF(INDIRECT("'"&amp;C4&amp;"'"&amp;"!A:A"),'结果表-车位'!B20,INDIRECT("'"&amp;C4&amp;"'"&amp;"!B:B"))</f>
        <v>8206</v>
      </c>
      <c r="D20" s="143">
        <f ca="1">SUMIF(INDIRECT("'"&amp;D4&amp;"'"&amp;"!A:A"),'结果表-车位'!B20,INDIRECT("'"&amp;D4&amp;"'"&amp;"!B:B"))</f>
        <v>1258</v>
      </c>
      <c r="E20" s="1919"/>
      <c r="F20" s="1156" t="s">
        <v>1921</v>
      </c>
      <c r="G20" s="3252">
        <f ca="1">ROUND(C20*$C$18+D20*$D$18,0)</f>
        <v>6122</v>
      </c>
      <c r="H20" s="916" t="s">
        <v>1922</v>
      </c>
      <c r="I20" s="1903">
        <f ca="1">G20*43/10000</f>
        <v>26.3246</v>
      </c>
      <c r="J20" s="3253" t="s">
        <v>3245</v>
      </c>
    </row>
    <row r="21" spans="1:36" ht="15" customHeight="1" thickBot="1">
      <c r="A21" s="936"/>
      <c r="B21" s="1920" t="s">
        <v>1923</v>
      </c>
      <c r="C21" s="727">
        <f ca="1">ROUND(C19*10000/L19,0)</f>
        <v>15838</v>
      </c>
      <c r="D21" s="728">
        <f ca="1">ROUND(D19*10000/L19,0)</f>
        <v>2428</v>
      </c>
      <c r="E21" s="936"/>
      <c r="F21" s="1920" t="s">
        <v>1923</v>
      </c>
      <c r="G21" s="144">
        <f ca="1">ROUND(G19*10000/L19,0)</f>
        <v>11816</v>
      </c>
      <c r="H21" s="1921" t="s">
        <v>1922</v>
      </c>
      <c r="I21" s="134"/>
    </row>
    <row r="22" spans="1:36" ht="15" thickBot="1">
      <c r="A22" s="1843" t="s">
        <v>1924</v>
      </c>
      <c r="B22" s="1922"/>
      <c r="C22" s="1923"/>
      <c r="D22" s="729">
        <f ca="1">IF(C19&lt;D19,D19/C19-1,C19/D19-1)</f>
        <v>5.5229419703103915</v>
      </c>
      <c r="E22" s="134"/>
      <c r="F22" s="134">
        <f ca="1">ROUND(C20*0.6+D20*0.4,0)</f>
        <v>5427</v>
      </c>
      <c r="G22" s="134"/>
      <c r="H22" s="134"/>
      <c r="I22" s="134"/>
    </row>
    <row r="23" spans="1:36" ht="13.5" thickBot="1">
      <c r="A23" s="1902"/>
      <c r="B23" s="1902"/>
      <c r="C23" s="1902"/>
      <c r="D23" s="1902"/>
      <c r="E23" s="134"/>
      <c r="F23" s="134"/>
      <c r="G23" s="134"/>
      <c r="H23" s="134"/>
      <c r="I23" s="134"/>
    </row>
    <row r="24" spans="1:36" ht="14.25">
      <c r="A24" s="3404" t="s">
        <v>1925</v>
      </c>
      <c r="B24" s="1917" t="s">
        <v>1917</v>
      </c>
      <c r="C24" s="141">
        <f>IF(B30=0,0,D30)</f>
        <v>0</v>
      </c>
      <c r="D24" s="1924"/>
      <c r="E24" s="134"/>
      <c r="F24" s="134"/>
      <c r="G24" s="134"/>
      <c r="H24" s="134"/>
      <c r="I24" s="134"/>
    </row>
    <row r="25" spans="1:36" ht="14.25">
      <c r="A25" s="340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6122</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4" t="s">
        <v>1938</v>
      </c>
      <c r="B36" s="1942" t="s">
        <v>1939</v>
      </c>
      <c r="C36" s="149"/>
      <c r="D36" s="1943"/>
      <c r="E36" s="1944"/>
      <c r="F36" s="1945"/>
      <c r="G36" s="134"/>
      <c r="H36" s="134"/>
      <c r="I36" s="134"/>
    </row>
    <row r="37" spans="1:15" ht="15.75" thickBot="1">
      <c r="A37" s="3425"/>
      <c r="B37" s="1829" t="s">
        <v>1940</v>
      </c>
      <c r="C37" s="151"/>
      <c r="D37" s="1272"/>
      <c r="E37" s="1272"/>
      <c r="F37" s="1945"/>
      <c r="G37" s="134"/>
      <c r="H37" s="134"/>
      <c r="I37" s="134"/>
    </row>
    <row r="38" spans="1:15" ht="15.75" thickBot="1">
      <c r="A38" s="3426"/>
      <c r="B38" s="1946" t="s">
        <v>1941</v>
      </c>
      <c r="C38" s="682"/>
      <c r="D38" s="1947" t="s">
        <v>1942</v>
      </c>
      <c r="E38" s="1272"/>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1" t="s">
        <v>1952</v>
      </c>
      <c r="B45" s="3402"/>
      <c r="C45" s="3403"/>
      <c r="D45" s="159" t="e">
        <f ca="1">ROUND(H101*F45,0)</f>
        <v>#REF!</v>
      </c>
      <c r="E45" s="160" t="s">
        <v>1953</v>
      </c>
      <c r="F45" s="161">
        <v>1</v>
      </c>
      <c r="G45" s="162" t="s">
        <v>1954</v>
      </c>
      <c r="H45" s="134"/>
      <c r="I45" s="134"/>
      <c r="J45" s="3482" t="s">
        <v>1955</v>
      </c>
      <c r="K45" s="3482"/>
      <c r="L45" s="3482"/>
      <c r="M45" s="3482"/>
      <c r="N45" s="3482"/>
      <c r="O45" s="3482"/>
    </row>
    <row r="46" spans="1:15" ht="14.25" customHeight="1">
      <c r="A46" s="3398" t="s">
        <v>1956</v>
      </c>
      <c r="B46" s="3399"/>
      <c r="C46" s="3399"/>
      <c r="D46" s="3399"/>
      <c r="E46" s="3399"/>
      <c r="F46" s="3399"/>
      <c r="G46" s="3400"/>
      <c r="H46" s="1961"/>
      <c r="I46" s="163"/>
      <c r="J46" s="2718">
        <v>1</v>
      </c>
      <c r="K46" s="3463" t="s">
        <v>1957</v>
      </c>
      <c r="L46" s="3463"/>
      <c r="M46" s="3483"/>
      <c r="N46" s="3483"/>
      <c r="O46" s="3483"/>
    </row>
    <row r="47" spans="1:15" ht="12" customHeight="1">
      <c r="A47" s="164" t="s">
        <v>1958</v>
      </c>
      <c r="B47" s="165"/>
      <c r="C47" s="166"/>
      <c r="D47" s="1218" t="s">
        <v>1959</v>
      </c>
      <c r="E47" s="307" t="s">
        <v>1960</v>
      </c>
      <c r="F47" s="167" t="s">
        <v>1961</v>
      </c>
      <c r="G47" s="2741" t="s">
        <v>1962</v>
      </c>
      <c r="H47" s="2742"/>
      <c r="I47" s="163"/>
      <c r="J47" s="2718">
        <v>2</v>
      </c>
      <c r="K47" s="3463" t="s">
        <v>1963</v>
      </c>
      <c r="L47" s="3463"/>
      <c r="M47" s="3484">
        <f>'数据-取费表'!B2</f>
        <v>44617</v>
      </c>
      <c r="N47" s="3484"/>
      <c r="O47" s="3484"/>
    </row>
    <row r="48" spans="1:15" ht="25.5">
      <c r="A48" s="3429" t="s">
        <v>1964</v>
      </c>
      <c r="B48" s="3412"/>
      <c r="C48" s="3412"/>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463" t="s">
        <v>1966</v>
      </c>
      <c r="L48" s="3463"/>
      <c r="M48" s="3485" t="e">
        <f ca="1">H101</f>
        <v>#REF!</v>
      </c>
      <c r="N48" s="3485"/>
      <c r="O48" s="3485"/>
    </row>
    <row r="49" spans="1:35" ht="25.5" customHeight="1">
      <c r="A49" s="2525" t="s">
        <v>1967</v>
      </c>
      <c r="B49" s="3397" t="s">
        <v>1968</v>
      </c>
      <c r="C49" s="3397"/>
      <c r="D49" s="1744">
        <v>0</v>
      </c>
      <c r="E49" s="329" t="s">
        <v>1969</v>
      </c>
      <c r="F49" s="2619" t="s">
        <v>34</v>
      </c>
      <c r="G49" s="3469"/>
      <c r="H49" s="2497" t="s">
        <v>2814</v>
      </c>
      <c r="I49" s="2498"/>
      <c r="J49" s="2718">
        <v>4</v>
      </c>
      <c r="K49" s="3463" t="str">
        <f>IF(项目基本情况!E8="房地产抵押价值","房地产抵押价值","抵押担保权已注销时的房地产抵押价值")</f>
        <v>抵押担保权已注销时的房地产抵押价值</v>
      </c>
      <c r="L49" s="3463"/>
      <c r="M49" s="3485" t="str">
        <f>IF(项目基本情况!E8="房地产抵押价值",H107,H109)</f>
        <v>——</v>
      </c>
      <c r="N49" s="3485"/>
      <c r="O49" s="3485"/>
    </row>
    <row r="50" spans="1:35" ht="25.5" customHeight="1">
      <c r="A50" s="2746"/>
      <c r="B50" s="3397" t="s">
        <v>1970</v>
      </c>
      <c r="C50" s="3397"/>
      <c r="D50" s="2747"/>
      <c r="E50" s="337"/>
      <c r="F50" s="2619"/>
      <c r="G50" s="3470"/>
      <c r="H50" s="2499" t="s">
        <v>2815</v>
      </c>
      <c r="I50" s="2498"/>
      <c r="J50" s="3482" t="s">
        <v>1971</v>
      </c>
      <c r="K50" s="3482"/>
      <c r="L50" s="3482"/>
      <c r="M50" s="3482"/>
      <c r="N50" s="3482"/>
      <c r="O50" s="3482"/>
    </row>
    <row r="51" spans="1:35" ht="20.45" customHeight="1">
      <c r="A51" s="2748"/>
      <c r="B51" s="3397" t="s">
        <v>1972</v>
      </c>
      <c r="C51" s="3397"/>
      <c r="D51" s="1218"/>
      <c r="E51" s="332"/>
      <c r="F51" s="2619"/>
      <c r="G51" s="3471"/>
      <c r="H51" s="2499" t="s">
        <v>2816</v>
      </c>
      <c r="I51" s="2498"/>
      <c r="J51" s="2719" t="s">
        <v>1973</v>
      </c>
      <c r="K51" s="3463" t="s">
        <v>1974</v>
      </c>
      <c r="L51" s="3463"/>
      <c r="M51" s="2719" t="s">
        <v>1975</v>
      </c>
      <c r="N51" s="2719" t="s">
        <v>1976</v>
      </c>
      <c r="O51" s="2719" t="s">
        <v>1977</v>
      </c>
    </row>
    <row r="52" spans="1:35" ht="24" customHeight="1">
      <c r="A52" s="2527" t="s">
        <v>1978</v>
      </c>
      <c r="B52" s="3397" t="s">
        <v>1979</v>
      </c>
      <c r="C52" s="3397"/>
      <c r="D52" s="1218" t="e">
        <f ca="1">ROUND(D45*'数据-取费表'!B41/(1+'数据-取费表'!C42),0)</f>
        <v>#REF!</v>
      </c>
      <c r="E52" s="2526" t="s">
        <v>1980</v>
      </c>
      <c r="F52" s="2749">
        <f>'数据-取费表'!B41</f>
        <v>5.5000000000000007E-2</v>
      </c>
      <c r="G52" s="2750"/>
      <c r="H52" s="2739"/>
      <c r="I52" s="1962"/>
      <c r="J52" s="2718">
        <v>1</v>
      </c>
      <c r="K52" s="3464" t="s">
        <v>1981</v>
      </c>
      <c r="L52" s="3464"/>
      <c r="M52" s="2720" t="b">
        <f>D48</f>
        <v>0</v>
      </c>
      <c r="N52" s="2718" t="str">
        <f>E48</f>
        <v>销售额×税（费）率</v>
      </c>
      <c r="O52" s="2721">
        <f>F48</f>
        <v>5.5000000000000007E-2</v>
      </c>
    </row>
    <row r="53" spans="1:35" ht="12" customHeight="1">
      <c r="A53" s="2527" t="s">
        <v>1982</v>
      </c>
      <c r="B53" s="3422" t="s">
        <v>2975</v>
      </c>
      <c r="C53" s="3423"/>
      <c r="D53" s="1218" t="e">
        <f ca="1">ROUND(D45*'数据-取费表'!B41/(1+'数据-取费表'!C42),0)</f>
        <v>#REF!</v>
      </c>
      <c r="E53" s="2526" t="s">
        <v>1980</v>
      </c>
      <c r="F53" s="2749">
        <f>'数据-取费表'!B41</f>
        <v>5.5000000000000007E-2</v>
      </c>
      <c r="G53" s="2750"/>
      <c r="H53" s="2739"/>
      <c r="I53" s="1962"/>
      <c r="J53" s="2718">
        <v>2</v>
      </c>
      <c r="K53" s="3464" t="s">
        <v>1983</v>
      </c>
      <c r="L53" s="3464"/>
      <c r="M53" s="2720" t="e">
        <f t="shared" ref="M53:O54" ca="1" si="0">D55</f>
        <v>#REF!</v>
      </c>
      <c r="N53" s="2718" t="str">
        <f t="shared" si="0"/>
        <v>销售额×税（费）率</v>
      </c>
      <c r="O53" s="2721" t="str">
        <f t="shared" si="0"/>
        <v>免征</v>
      </c>
    </row>
    <row r="54" spans="1:35" ht="12" customHeight="1">
      <c r="A54" s="2527" t="s">
        <v>1984</v>
      </c>
      <c r="B54" s="3422" t="s">
        <v>2976</v>
      </c>
      <c r="C54" s="3423"/>
      <c r="D54" s="1218" t="e">
        <f ca="1">C68</f>
        <v>#REF!</v>
      </c>
      <c r="E54" s="332" t="s">
        <v>1985</v>
      </c>
      <c r="F54" s="2749">
        <f>'数据-取费表'!B41</f>
        <v>5.5000000000000007E-2</v>
      </c>
      <c r="G54" s="2750"/>
      <c r="H54" s="2751"/>
      <c r="I54" s="1962"/>
      <c r="J54" s="2718">
        <v>3</v>
      </c>
      <c r="K54" s="3464" t="s">
        <v>1986</v>
      </c>
      <c r="L54" s="3464"/>
      <c r="M54" s="2720" t="e">
        <f t="shared" ca="1" si="0"/>
        <v>#REF!</v>
      </c>
      <c r="N54" s="2718" t="str">
        <f t="shared" si="0"/>
        <v>增值额×税（费）率</v>
      </c>
      <c r="O54" s="2722" t="str">
        <f t="shared" si="0"/>
        <v>免征</v>
      </c>
    </row>
    <row r="55" spans="1:35" ht="24" customHeight="1">
      <c r="A55" s="3411" t="s">
        <v>1987</v>
      </c>
      <c r="B55" s="3412"/>
      <c r="C55" s="3412"/>
      <c r="D55" s="2516" t="e">
        <f ca="1">IF(H55="个人住宅",0,ROUND(D45*I55,0))</f>
        <v>#REF!</v>
      </c>
      <c r="E55" s="2526" t="s">
        <v>1988</v>
      </c>
      <c r="F55" s="2749" t="str">
        <f>IF(H55="正常",I55,"免征")</f>
        <v>免征</v>
      </c>
      <c r="G55" s="2750"/>
      <c r="H55" s="2745"/>
      <c r="I55" s="169">
        <f>'数据-取费表'!B49</f>
        <v>5.0000000000000001E-4</v>
      </c>
      <c r="J55" s="2718">
        <f>IF(H59="非个人房产","",4)</f>
        <v>4</v>
      </c>
      <c r="K55" s="3464" t="str">
        <f>IF(H59="非个人房产","——","个人所得税")</f>
        <v>个人所得税</v>
      </c>
      <c r="L55" s="3464"/>
      <c r="M55" s="2723" t="e">
        <f ca="1">D59</f>
        <v>#REF!</v>
      </c>
      <c r="N55" s="2197" t="str">
        <f>E59</f>
        <v>差额计税</v>
      </c>
      <c r="O55" s="2724">
        <f>F59</f>
        <v>0.01</v>
      </c>
    </row>
    <row r="56" spans="1:35" ht="24.75">
      <c r="A56" s="3411" t="s">
        <v>1989</v>
      </c>
      <c r="B56" s="3412"/>
      <c r="C56" s="3412"/>
      <c r="D56" s="2516" t="e">
        <f ca="1">IF(H56="个人住宅",D57,D58)</f>
        <v>#REF!</v>
      </c>
      <c r="E56" s="2526" t="s">
        <v>1990</v>
      </c>
      <c r="F56" s="2749" t="str">
        <f>IF(H56="正常",F58,"免征")</f>
        <v>免征</v>
      </c>
      <c r="G56" s="2752" t="s">
        <v>1991</v>
      </c>
      <c r="H56" s="2753"/>
      <c r="I56" s="1963"/>
      <c r="J56" s="2718" t="str">
        <f>IF(项目基本情况!K6="上海银行",IF(J55="",4,J55+1),"")</f>
        <v/>
      </c>
      <c r="K56" s="3487" t="str">
        <f>IF(项目基本情况!K6="上海银行","其他处置费用","")</f>
        <v/>
      </c>
      <c r="L56" s="3488"/>
      <c r="M56" s="2720" t="str">
        <f>IF(项目基本情况!K6="上海银行",M69,"")</f>
        <v/>
      </c>
      <c r="N56" s="3487" t="str">
        <f>IF(项目基本情况!K6="上海银行","包含处置中涉及的律师、诉讼、拍卖、评估等费用","")</f>
        <v/>
      </c>
      <c r="O56" s="3490"/>
    </row>
    <row r="57" spans="1:35" ht="12.75">
      <c r="A57" s="2527" t="s">
        <v>1967</v>
      </c>
      <c r="B57" s="3422" t="s">
        <v>1992</v>
      </c>
      <c r="C57" s="3423"/>
      <c r="D57" s="1744">
        <v>0</v>
      </c>
      <c r="E57" s="329" t="s">
        <v>1969</v>
      </c>
      <c r="F57" s="307"/>
      <c r="G57" s="2750"/>
      <c r="H57" s="2754"/>
      <c r="I57" s="1963"/>
      <c r="J57" s="3464">
        <f>IF(AND(J55="",J56=""),4,IF(项目基本情况!K6="上海银行",'结果表-车位'!J56+1,'结果表-车位'!J55+1))</f>
        <v>5</v>
      </c>
      <c r="K57" s="3464" t="s">
        <v>1993</v>
      </c>
      <c r="L57" s="2725" t="s">
        <v>1994</v>
      </c>
      <c r="M57" s="2726"/>
      <c r="N57" s="2727">
        <f ca="1">SUMIF(M52:M56,"&lt;9e307")</f>
        <v>0</v>
      </c>
      <c r="O57" s="2728"/>
      <c r="P57" s="2888" t="e">
        <f ca="1">N57/M49</f>
        <v>#VALUE!</v>
      </c>
    </row>
    <row r="58" spans="1:35" ht="24.75">
      <c r="A58" s="2527" t="s">
        <v>1978</v>
      </c>
      <c r="B58" s="3422" t="s">
        <v>1995</v>
      </c>
      <c r="C58" s="3397"/>
      <c r="D58" s="2516" t="e">
        <f ca="1">IF(H58="转让取得",C81,C97)</f>
        <v>#REF!</v>
      </c>
      <c r="E58" s="2526" t="s">
        <v>1990</v>
      </c>
      <c r="F58" s="307" t="s">
        <v>34</v>
      </c>
      <c r="G58" s="2750"/>
      <c r="H58" s="2753"/>
      <c r="I58" s="1963"/>
      <c r="J58" s="3464"/>
      <c r="K58" s="3464"/>
      <c r="L58" s="2725" t="s">
        <v>1996</v>
      </c>
      <c r="M58" s="2729"/>
      <c r="N58" s="2730" t="str">
        <f ca="1">NUMBERSTRING(INT(N57*10000),2)&amp;"元整"</f>
        <v>零元整</v>
      </c>
      <c r="O58" s="2731"/>
    </row>
    <row r="59" spans="1:35" ht="24.75" thickBot="1">
      <c r="A59" s="3467" t="s">
        <v>1997</v>
      </c>
      <c r="B59" s="3468"/>
      <c r="C59" s="3468"/>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5">
        <f>J57+1</f>
        <v>6</v>
      </c>
      <c r="K59" s="3464" t="s">
        <v>1998</v>
      </c>
      <c r="L59" s="2718" t="s">
        <v>1994</v>
      </c>
      <c r="M59" s="2732"/>
      <c r="N59" s="2733" t="e">
        <f ca="1">M49-N57</f>
        <v>#VALUE!</v>
      </c>
      <c r="O59" s="2734"/>
    </row>
    <row r="60" spans="1:35" ht="12" customHeight="1">
      <c r="A60" s="1964"/>
      <c r="B60" s="1902"/>
      <c r="C60" s="1902"/>
      <c r="D60" s="1902"/>
      <c r="E60" s="1732"/>
      <c r="F60" s="1963"/>
      <c r="G60" s="1963"/>
      <c r="H60" s="1965"/>
      <c r="I60" s="134"/>
      <c r="J60" s="3466"/>
      <c r="K60" s="3464"/>
      <c r="L60" s="2725" t="s">
        <v>1996</v>
      </c>
      <c r="M60" s="2729"/>
      <c r="N60" s="2730" t="e">
        <f ca="1">NUMBERSTRING(INT(N59*10000),2)&amp;"元整"</f>
        <v>#VALUE!</v>
      </c>
      <c r="O60" s="2731"/>
    </row>
    <row r="61" spans="1:35" ht="13.5" thickBot="1">
      <c r="A61" s="3409" t="s">
        <v>1999</v>
      </c>
      <c r="B61" s="3409"/>
      <c r="C61" s="3409"/>
      <c r="D61" s="3409"/>
      <c r="E61" s="3409"/>
      <c r="F61" s="1963"/>
      <c r="G61" s="1963"/>
      <c r="H61" s="1965"/>
      <c r="I61" s="134"/>
      <c r="J61" s="2718">
        <f>J59+1</f>
        <v>7</v>
      </c>
      <c r="K61" s="3464" t="s">
        <v>2000</v>
      </c>
      <c r="L61" s="3464"/>
      <c r="M61" s="2735"/>
      <c r="N61" s="2736" t="e">
        <f ca="1">ROUND(N59*10000/'数据-汇总表'!E3,0)</f>
        <v>#VALUE!</v>
      </c>
      <c r="O61" s="2737"/>
    </row>
    <row r="62" spans="1:35" ht="12.75">
      <c r="A62" s="3427" t="s">
        <v>2001</v>
      </c>
      <c r="B62" s="3428"/>
      <c r="C62" s="2178"/>
      <c r="D62" s="2178"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9" t="s">
        <v>2005</v>
      </c>
      <c r="K63" s="1471" t="s">
        <v>2006</v>
      </c>
      <c r="L63" s="147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9"/>
      <c r="K64" s="1471" t="s">
        <v>2008</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9"/>
      <c r="K65" s="1471" t="s">
        <v>2011</v>
      </c>
      <c r="L65" s="147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9"/>
      <c r="K66" s="1471" t="s">
        <v>2013</v>
      </c>
      <c r="L66" s="147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9"/>
      <c r="K67" s="1471" t="s">
        <v>2016</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9"/>
      <c r="K68" s="1471" t="s">
        <v>2018</v>
      </c>
      <c r="L68" s="147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9"/>
      <c r="K69" s="1471" t="s">
        <v>2019</v>
      </c>
      <c r="L69" s="147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8" t="s">
        <v>2020</v>
      </c>
      <c r="B70" s="3449"/>
      <c r="C70" s="3449"/>
      <c r="D70" s="3449"/>
      <c r="E70" s="3449"/>
      <c r="F70" s="3449"/>
      <c r="G70" s="3449"/>
      <c r="H70" s="344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2178"/>
      <c r="D71" s="2178"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2523"/>
      <c r="F72" s="2522"/>
      <c r="G72" s="2522"/>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2523"/>
      <c r="F73" s="2522"/>
      <c r="G73" s="252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2523"/>
      <c r="F74" s="2522"/>
      <c r="G74" s="252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2" t="s">
        <v>2028</v>
      </c>
      <c r="F76" s="3397"/>
      <c r="G76" s="3397"/>
      <c r="H76" s="344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2516" t="s">
        <v>2030</v>
      </c>
      <c r="F77" s="191"/>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6" t="s">
        <v>2032</v>
      </c>
      <c r="F78" s="3407"/>
      <c r="G78" s="3407"/>
      <c r="H78" s="341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2033</v>
      </c>
      <c r="C79" s="2763" t="e">
        <f ca="1">C72-C73</f>
        <v>#REF!</v>
      </c>
      <c r="D79" s="174" t="s">
        <v>32</v>
      </c>
      <c r="E79" s="2523"/>
      <c r="F79" s="2522"/>
      <c r="G79" s="252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2516" t="e">
        <f ca="1">IF(C80&gt;=200%,"增值额超过扣除项目金额200%",IF(C80&gt;=100%,"增值额超过扣除项目金额100%，未超过200%",IF(C80&gt;=50%,"增值额超过扣除项目金额50%，未超过100%",IF(C80&lt;50%,"增值额未超过扣除项目金额50%"))))</f>
        <v>#REF!</v>
      </c>
      <c r="F80" s="2522"/>
      <c r="G80" s="252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8" t="s">
        <v>2036</v>
      </c>
      <c r="B83" s="3449"/>
      <c r="C83" s="3449"/>
      <c r="D83" s="3449"/>
      <c r="E83" s="3449"/>
      <c r="F83" s="3449"/>
      <c r="G83" s="3449"/>
      <c r="H83" s="344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2178"/>
      <c r="D84" s="2178"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2523"/>
      <c r="F85" s="2522"/>
      <c r="G85" s="252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2523"/>
      <c r="F86" s="2522"/>
      <c r="G86" s="252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2519"/>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2519"/>
      <c r="G90" s="3491" t="s">
        <v>2809</v>
      </c>
      <c r="H90" s="3492"/>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6" t="s">
        <v>2045</v>
      </c>
      <c r="F91" s="3407"/>
      <c r="G91" s="340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6" t="s">
        <v>2048</v>
      </c>
      <c r="F92" s="3407"/>
      <c r="G92" s="3407"/>
      <c r="H92" s="3416"/>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6" t="s">
        <v>2032</v>
      </c>
      <c r="F93" s="3407"/>
      <c r="G93" s="3407"/>
      <c r="H93" s="341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7" t="s">
        <v>2052</v>
      </c>
      <c r="F94" s="3418"/>
      <c r="G94" s="3418"/>
      <c r="H94" s="341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2033</v>
      </c>
      <c r="C95" s="2763" t="e">
        <f ca="1">ROUND(C85-C86,0)</f>
        <v>#REF!</v>
      </c>
      <c r="D95" s="174" t="s">
        <v>32</v>
      </c>
      <c r="E95" s="2523"/>
      <c r="F95" s="2522"/>
      <c r="G95" s="252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2516" t="e">
        <f ca="1">IF(C96&gt;=200%,"增值额超过扣除项目金额200%",IF(C96&gt;=100%,"增值额超过扣除项目金额100%，未超过200%",IF(C96&gt;=50%,"增值额超过扣除项目金额50%，未超过100%",IF(C96&lt;50%,"增值额未超过扣除项目金额50%"))))</f>
        <v>#REF!</v>
      </c>
      <c r="F96" s="2522"/>
      <c r="G96" s="252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08"/>
      <c r="E100" s="3347" t="s">
        <v>2055</v>
      </c>
      <c r="F100" s="3347"/>
      <c r="G100" s="3347"/>
      <c r="H100" s="3408"/>
      <c r="I100" s="134"/>
    </row>
    <row r="101" spans="1:35" ht="18.75" customHeight="1">
      <c r="A101" s="3472" t="s">
        <v>2056</v>
      </c>
      <c r="B101" s="3473"/>
      <c r="C101" s="2780" t="str">
        <f>C4</f>
        <v>比较法-车位</v>
      </c>
      <c r="D101" s="2781" t="str">
        <f>D4</f>
        <v>收益法-车位</v>
      </c>
      <c r="E101" s="3486" t="s">
        <v>2057</v>
      </c>
      <c r="F101" s="3440"/>
      <c r="G101" s="1982" t="s">
        <v>2058</v>
      </c>
      <c r="H101" s="2790" t="e">
        <f ca="1">H118</f>
        <v>#REF!</v>
      </c>
      <c r="I101" s="134"/>
    </row>
    <row r="102" spans="1:35" ht="18.75" customHeight="1">
      <c r="A102" s="3442" t="s">
        <v>2059</v>
      </c>
      <c r="B102" s="2779" t="s">
        <v>2058</v>
      </c>
      <c r="C102" s="2780">
        <f ca="1">C19</f>
        <v>9667</v>
      </c>
      <c r="D102" s="2781">
        <f ca="1">D19</f>
        <v>1482</v>
      </c>
      <c r="E102" s="3486"/>
      <c r="F102" s="3440"/>
      <c r="G102" s="1982" t="s">
        <v>2060</v>
      </c>
      <c r="H102" s="2750" t="e">
        <f ca="1">I118</f>
        <v>#REF!</v>
      </c>
      <c r="I102" s="134"/>
    </row>
    <row r="103" spans="1:35" ht="42.75" customHeight="1">
      <c r="A103" s="3442"/>
      <c r="B103" s="2779" t="s">
        <v>2060</v>
      </c>
      <c r="C103" s="2782">
        <f ca="1">C20</f>
        <v>8206</v>
      </c>
      <c r="D103" s="2783">
        <f ca="1">D20</f>
        <v>1258</v>
      </c>
      <c r="E103" s="3480" t="s">
        <v>2061</v>
      </c>
      <c r="F103" s="3481"/>
      <c r="G103" s="1983" t="s">
        <v>2062</v>
      </c>
      <c r="H103" s="2790">
        <f>IF(D36="正常操作",H104+H105+H106,H105+H106)</f>
        <v>0</v>
      </c>
      <c r="I103" s="134"/>
    </row>
    <row r="104" spans="1:35" ht="18.75" customHeight="1">
      <c r="A104" s="3442"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9" t="str">
        <f>IF(项目基本情况!E8="已注销","——","3.房地产抵押价值")</f>
        <v>3.房地产抵押价值</v>
      </c>
      <c r="F107" s="3440"/>
      <c r="G107" s="1982" t="s">
        <v>2058</v>
      </c>
      <c r="H107" s="2790" t="e">
        <f ca="1">IF(E107="——","——",H101-H103)</f>
        <v>#REF!</v>
      </c>
      <c r="I107" s="134"/>
    </row>
    <row r="108" spans="1:35" ht="18.75" customHeight="1">
      <c r="A108" s="134"/>
      <c r="B108" s="134"/>
      <c r="C108" s="134"/>
      <c r="D108" s="134"/>
      <c r="E108" s="3439"/>
      <c r="F108" s="3440"/>
      <c r="G108" s="1982" t="s">
        <v>2060</v>
      </c>
      <c r="H108" s="2750" t="e">
        <f ca="1">ROUND(H107*10000/'数据-汇总表'!E3,0)</f>
        <v>#REF!</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40"/>
      <c r="G109" s="1982" t="s">
        <v>2058</v>
      </c>
      <c r="H109" s="2793" t="str">
        <f>IF(E109="——","——",H101-H105-H106)</f>
        <v>——</v>
      </c>
      <c r="I109" s="134"/>
    </row>
    <row r="110" spans="1:35" ht="18.75" customHeight="1">
      <c r="A110" s="134"/>
      <c r="B110" s="134"/>
      <c r="C110" s="134"/>
      <c r="D110" s="134"/>
      <c r="E110" s="3439"/>
      <c r="F110" s="3440"/>
      <c r="G110" s="1982" t="s">
        <v>2060</v>
      </c>
      <c r="H110" s="2750"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41"/>
      <c r="G111" s="1982" t="s">
        <v>2058</v>
      </c>
      <c r="H111" s="2790" t="str">
        <f>IF(E111="——","——",N59)</f>
        <v>——</v>
      </c>
      <c r="I111" s="134"/>
    </row>
    <row r="112" spans="1:35" ht="18.75" customHeight="1" thickBot="1">
      <c r="A112" s="134"/>
      <c r="B112" s="134"/>
      <c r="C112" s="134"/>
      <c r="D112" s="134"/>
      <c r="E112" s="3475"/>
      <c r="F112" s="3476"/>
      <c r="G112" s="1985" t="s">
        <v>2060</v>
      </c>
      <c r="H112" s="2794" t="str">
        <f>IF(E111="——","——",N61)</f>
        <v>——</v>
      </c>
      <c r="I112" s="134"/>
    </row>
    <row r="113" spans="1:27" ht="18.75" customHeight="1">
      <c r="A113" s="134"/>
      <c r="B113" s="134"/>
      <c r="C113" s="134"/>
      <c r="D113" s="134"/>
      <c r="E113" s="3444" t="s">
        <v>2066</v>
      </c>
      <c r="F113" s="3444"/>
      <c r="G113" s="3444"/>
      <c r="H113" s="3444"/>
      <c r="I113" s="134"/>
    </row>
    <row r="114" spans="1:27" ht="3.75" customHeight="1">
      <c r="A114" s="1902"/>
      <c r="B114" s="1902"/>
      <c r="C114" s="1902"/>
      <c r="D114" s="1902"/>
      <c r="E114" s="1964"/>
      <c r="F114" s="1964"/>
      <c r="G114" s="1964"/>
      <c r="H114" s="1964"/>
      <c r="I114" s="1902"/>
    </row>
    <row r="115" spans="1:27" ht="18.75" customHeight="1">
      <c r="A115" s="3457" t="s">
        <v>2068</v>
      </c>
      <c r="B115" s="3458"/>
      <c r="C115" s="3458"/>
      <c r="D115" s="3458"/>
      <c r="E115" s="3458"/>
      <c r="F115" s="3458"/>
      <c r="G115" s="3458"/>
      <c r="H115" s="3458"/>
      <c r="I115" s="3459"/>
    </row>
    <row r="116" spans="1:27" ht="27" customHeight="1">
      <c r="A116" s="3410" t="s">
        <v>2069</v>
      </c>
      <c r="B116" s="3445" t="s">
        <v>2070</v>
      </c>
      <c r="C116" s="3445" t="s">
        <v>2071</v>
      </c>
      <c r="D116" s="3461" t="s">
        <v>2072</v>
      </c>
      <c r="E116" s="3462"/>
      <c r="F116" s="3453" t="s">
        <v>2073</v>
      </c>
      <c r="G116" s="3453"/>
      <c r="H116" s="3410" t="s">
        <v>2074</v>
      </c>
      <c r="I116" s="3410"/>
    </row>
    <row r="117" spans="1:27" ht="18.75" customHeight="1">
      <c r="A117" s="3410"/>
      <c r="B117" s="3446"/>
      <c r="C117" s="3446"/>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11780.21</v>
      </c>
      <c r="C118" s="2521">
        <f>M19</f>
        <v>6103.74</v>
      </c>
      <c r="D118" s="2521" t="e">
        <f ca="1">ROUND(IF(D32="总价",C34,E118*B118/10000),0)</f>
        <v>#REF!</v>
      </c>
      <c r="E118" s="2521" t="e">
        <f ca="1">ROUND(IF(C33="自定义",IF(D32="楼面单价",C34,D118*10000/B118),I118-G118),0)</f>
        <v>#REF!</v>
      </c>
      <c r="F118" s="2521" t="e">
        <f ca="1">ROUND(IF(D32="总价",C35,G118*B118/10000),0)</f>
        <v>#REF!</v>
      </c>
      <c r="G118" s="2521" t="e">
        <f ca="1">ROUND(IF(D32="楼面单价",C35,F118*10000/B118),0)</f>
        <v>#REF!</v>
      </c>
      <c r="H118" s="2521" t="e">
        <f ca="1">ROUND(IF(D32="总价",C32,I118*B118/10000),0)</f>
        <v>#REF!</v>
      </c>
      <c r="I118" s="2521" t="e">
        <f ca="1">ROUND(IF(D32="楼面单价",C32,H118*10000/B118),0)</f>
        <v>#REF!</v>
      </c>
    </row>
    <row r="119" spans="1:27" ht="18.75" customHeight="1">
      <c r="A119" s="3410" t="s">
        <v>2078</v>
      </c>
      <c r="B119" s="3410"/>
      <c r="C119" s="3410"/>
      <c r="D119" s="3450" t="e">
        <f ca="1">NUMBERSTRING(INT(D118*10000),2)&amp;"元整"</f>
        <v>#REF!</v>
      </c>
      <c r="E119" s="3452"/>
      <c r="F119" s="3450" t="e">
        <f ca="1">NUMBERSTRING(INT(F118*10000),2)&amp;"元整"</f>
        <v>#REF!</v>
      </c>
      <c r="G119" s="3452"/>
      <c r="H119" s="3450" t="e">
        <f ca="1">NUMBERSTRING(INT(H118*10000),2)&amp;"元整"</f>
        <v>#REF!</v>
      </c>
      <c r="I119" s="3452"/>
    </row>
    <row r="120" spans="1:27" ht="18.75" customHeight="1">
      <c r="A120" s="3477" t="str">
        <f>IF(项目基本情况!B9="房地产市场价值","",MID(E103,3,LEN(E103)-2))</f>
        <v/>
      </c>
      <c r="B120" s="3478"/>
      <c r="C120" s="3479"/>
      <c r="D120" s="3477">
        <f>H103</f>
        <v>0</v>
      </c>
      <c r="E120" s="3478"/>
      <c r="F120" s="3478"/>
      <c r="G120" s="3478"/>
      <c r="H120" s="3478"/>
      <c r="I120" s="347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4" t="s">
        <v>2078</v>
      </c>
      <c r="B121" s="3455"/>
      <c r="C121" s="3456"/>
      <c r="D121" s="3450" t="str">
        <f>IF(D120=0,"零元整",NUMBERSTRING(INT(D120*10000),2)&amp;"元整")</f>
        <v>零元整</v>
      </c>
      <c r="E121" s="3451"/>
      <c r="F121" s="3451"/>
      <c r="G121" s="3451"/>
      <c r="H121" s="3451"/>
      <c r="I121" s="3452"/>
      <c r="AA121" s="733"/>
    </row>
    <row r="122" spans="1:27" ht="18.75" customHeight="1">
      <c r="A122" s="3441" t="str">
        <f>IF(项目基本情况!B9="房地产市场价值","",MID(E107,3,LEN(E107)-2))</f>
        <v/>
      </c>
      <c r="B122" s="3441"/>
      <c r="C122" s="3441"/>
      <c r="D122" s="3477" t="e">
        <f ca="1">H107</f>
        <v>#REF!</v>
      </c>
      <c r="E122" s="3478"/>
      <c r="F122" s="3478"/>
      <c r="G122" s="3478"/>
      <c r="H122" s="3478"/>
      <c r="I122" s="3479"/>
      <c r="AA122" s="733"/>
    </row>
    <row r="123" spans="1:27" ht="18.75" customHeight="1">
      <c r="A123" s="3410" t="s">
        <v>2078</v>
      </c>
      <c r="B123" s="3410"/>
      <c r="C123" s="3410"/>
      <c r="D123" s="3450" t="e">
        <f ca="1">NUMBERSTRING(INT(D122*10000),2)&amp;"元整"</f>
        <v>#REF!</v>
      </c>
      <c r="E123" s="3451"/>
      <c r="F123" s="3451"/>
      <c r="G123" s="3451"/>
      <c r="H123" s="3451"/>
      <c r="I123" s="3452"/>
      <c r="AA123" s="733"/>
    </row>
    <row r="124" spans="1:27" ht="18.75" customHeight="1">
      <c r="A124" s="3441" t="str">
        <f>IF(项目基本情况!B9="房地产市场价值","",MID(E109,3,LEN(E109)-2))</f>
        <v/>
      </c>
      <c r="B124" s="3441"/>
      <c r="C124" s="3441"/>
      <c r="D124" s="3477" t="str">
        <f>H109</f>
        <v>——</v>
      </c>
      <c r="E124" s="3478"/>
      <c r="F124" s="3478"/>
      <c r="G124" s="3478"/>
      <c r="H124" s="3478"/>
      <c r="I124" s="3479"/>
      <c r="AA124" s="733"/>
    </row>
    <row r="125" spans="1:27" ht="18.75" customHeight="1">
      <c r="A125" s="3410" t="s">
        <v>2078</v>
      </c>
      <c r="B125" s="3410"/>
      <c r="C125" s="3410"/>
      <c r="D125" s="3450" t="e">
        <f>NUMBERSTRING(INT(D124*10000),2)&amp;"元整"</f>
        <v>#VALUE!</v>
      </c>
      <c r="E125" s="3451"/>
      <c r="F125" s="3451"/>
      <c r="G125" s="3451"/>
      <c r="H125" s="3451"/>
      <c r="I125" s="3452"/>
      <c r="AA125" s="733"/>
    </row>
    <row r="126" spans="1:27" ht="18.75" customHeight="1">
      <c r="A126" s="3441" t="str">
        <f>IF(项目基本情况!B9="房地产市场价值","",MID(E111,3,LEN(E111)-2))</f>
        <v/>
      </c>
      <c r="B126" s="3441"/>
      <c r="C126" s="3441"/>
      <c r="D126" s="3477" t="str">
        <f>H111</f>
        <v>——</v>
      </c>
      <c r="E126" s="3478"/>
      <c r="F126" s="3478"/>
      <c r="G126" s="3478"/>
      <c r="H126" s="3478"/>
      <c r="I126" s="3479"/>
      <c r="AA126" s="733"/>
    </row>
    <row r="127" spans="1:27" ht="18.75" customHeight="1">
      <c r="A127" s="3410" t="s">
        <v>2078</v>
      </c>
      <c r="B127" s="3410"/>
      <c r="C127" s="3410"/>
      <c r="D127" s="3450" t="e">
        <f>NUMBERSTRING(INT(D126*10000),2)&amp;"元整"</f>
        <v>#VALUE!</v>
      </c>
      <c r="E127" s="3451"/>
      <c r="F127" s="3451"/>
      <c r="G127" s="3451"/>
      <c r="H127" s="3451"/>
      <c r="I127" s="3452"/>
      <c r="AA127" s="733"/>
    </row>
    <row r="128" spans="1:27" ht="21.75" customHeight="1">
      <c r="A128" s="3460" t="s">
        <v>2079</v>
      </c>
      <c r="B128" s="3460"/>
      <c r="C128" s="3460"/>
      <c r="D128" s="3460"/>
      <c r="E128" s="3460"/>
      <c r="F128" s="3460"/>
      <c r="G128" s="3460"/>
      <c r="H128" s="3460"/>
      <c r="I128" s="346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"100%,80%,60%,64%"</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5"/>
  <sheetViews>
    <sheetView zoomScaleNormal="100" workbookViewId="0">
      <selection activeCell="H8" sqref="H8"/>
    </sheetView>
  </sheetViews>
  <sheetFormatPr defaultRowHeight="13.5"/>
  <cols>
    <col min="1" max="1" width="9" style="3236"/>
    <col min="2" max="2" width="15.625" style="3236" customWidth="1"/>
    <col min="3" max="3" width="10.5" style="3236" bestFit="1" customWidth="1"/>
    <col min="4" max="9" width="9" style="3236"/>
    <col min="10" max="10" width="14.125" style="3236" customWidth="1"/>
    <col min="11" max="16384" width="9" style="3236"/>
  </cols>
  <sheetData>
    <row r="1" spans="1:10" ht="43.5" customHeight="1">
      <c r="B1" s="3237" t="s">
        <v>1275</v>
      </c>
      <c r="C1" s="3237" t="s">
        <v>3176</v>
      </c>
      <c r="D1" s="3237" t="s">
        <v>3178</v>
      </c>
      <c r="E1" s="3237" t="s">
        <v>3179</v>
      </c>
      <c r="F1" s="3237" t="s">
        <v>3180</v>
      </c>
      <c r="G1" s="3237" t="s">
        <v>3177</v>
      </c>
      <c r="H1" s="3237" t="s">
        <v>3182</v>
      </c>
      <c r="I1" s="3237" t="s">
        <v>3183</v>
      </c>
      <c r="J1" s="3237" t="s">
        <v>3185</v>
      </c>
    </row>
    <row r="2" spans="1:10" ht="43.5" customHeight="1">
      <c r="A2" s="3236">
        <v>1</v>
      </c>
      <c r="B2" s="3236" t="s">
        <v>3151</v>
      </c>
      <c r="C2" s="3237" t="s">
        <v>3188</v>
      </c>
      <c r="D2" s="3236">
        <v>7796</v>
      </c>
      <c r="E2" s="3236">
        <v>33</v>
      </c>
      <c r="F2" s="3236">
        <v>26</v>
      </c>
      <c r="G2" s="3238" t="s">
        <v>3181</v>
      </c>
      <c r="H2" s="3236">
        <v>782</v>
      </c>
      <c r="I2" s="3236">
        <f>ROUND(H2*1.2,)</f>
        <v>938</v>
      </c>
      <c r="J2" s="3236">
        <f>I2*E2</f>
        <v>30954</v>
      </c>
    </row>
    <row r="3" spans="1:10" ht="43.5" customHeight="1">
      <c r="A3" s="3236">
        <v>2</v>
      </c>
      <c r="B3" s="3236" t="s">
        <v>3153</v>
      </c>
      <c r="C3" s="3239">
        <v>44613</v>
      </c>
      <c r="D3" s="3236">
        <v>8722</v>
      </c>
      <c r="E3" s="3236">
        <v>32</v>
      </c>
      <c r="F3" s="3236">
        <v>28</v>
      </c>
      <c r="G3" s="3238" t="s">
        <v>3184</v>
      </c>
      <c r="H3" s="3236">
        <v>964</v>
      </c>
      <c r="I3" s="3236">
        <f>H3</f>
        <v>964</v>
      </c>
      <c r="J3" s="3236">
        <f t="shared" ref="J3:J4" si="0">I3*E3</f>
        <v>30848</v>
      </c>
    </row>
    <row r="4" spans="1:10" ht="43.5" customHeight="1">
      <c r="A4" s="3236">
        <v>3</v>
      </c>
      <c r="B4" s="3236" t="s">
        <v>3155</v>
      </c>
      <c r="C4" s="3239">
        <v>44617</v>
      </c>
      <c r="D4" s="3236">
        <v>6659</v>
      </c>
      <c r="E4" s="3236">
        <v>44</v>
      </c>
      <c r="F4" s="3236">
        <v>29.5</v>
      </c>
      <c r="G4" s="3238" t="s">
        <v>3186</v>
      </c>
      <c r="H4" s="3236">
        <v>813</v>
      </c>
      <c r="I4" s="3236">
        <f>ROUND(H4*0.75,0)</f>
        <v>610</v>
      </c>
      <c r="J4" s="3236">
        <f t="shared" si="0"/>
        <v>26840</v>
      </c>
    </row>
    <row r="5" spans="1:10" ht="43.5" customHeight="1">
      <c r="A5" s="3248" t="s">
        <v>3236</v>
      </c>
      <c r="B5" s="3237" t="s">
        <v>3187</v>
      </c>
      <c r="C5" s="3239">
        <v>44617</v>
      </c>
      <c r="E5" s="3236">
        <v>43</v>
      </c>
      <c r="G5" s="3238" t="s">
        <v>3189</v>
      </c>
      <c r="H5" s="3236">
        <v>420</v>
      </c>
      <c r="I5" s="3236">
        <f>272+274</f>
        <v>546</v>
      </c>
      <c r="J5" s="3236">
        <f>面积表!H19+面积表!I19</f>
        <v>23672.18</v>
      </c>
    </row>
  </sheetData>
  <phoneticPr fontId="140"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90" zoomScaleNormal="70" zoomScaleSheetLayoutView="90" workbookViewId="0">
      <selection activeCell="D11" sqref="D1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3136</v>
      </c>
      <c r="D1" s="1515"/>
      <c r="E1" s="1516" t="s">
        <v>1292</v>
      </c>
      <c r="F1" s="1192">
        <f ca="1">J53</f>
        <v>49.25</v>
      </c>
      <c r="G1" s="1531">
        <f>MATCH(C1,'数据-取费表'!A6:A16,0)+5</f>
        <v>6</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1482</v>
      </c>
      <c r="C2" s="1540" t="s">
        <v>1421</v>
      </c>
      <c r="D2" s="1540"/>
      <c r="E2" s="1541"/>
      <c r="F2" s="1542"/>
      <c r="G2" s="2904"/>
      <c r="H2" s="2893"/>
      <c r="I2" s="2893"/>
      <c r="J2" s="2893"/>
      <c r="K2" s="2894"/>
      <c r="L2" s="2893"/>
      <c r="M2" s="2893"/>
    </row>
    <row r="3" spans="1:37" ht="18" customHeight="1" thickBot="1">
      <c r="A3" s="1543" t="s">
        <v>1422</v>
      </c>
      <c r="B3" s="1544">
        <f ca="1">IF(ISERROR(B2*10000/F43),0,ROUND(B2*10000/F43,0))</f>
        <v>1258</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155</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155</v>
      </c>
      <c r="D6" s="159" t="s">
        <v>2788</v>
      </c>
      <c r="E6" s="307" t="s">
        <v>1310</v>
      </c>
      <c r="F6" s="308">
        <f ca="1">INDIRECT("'数据-取费表'!u"&amp;$G$1)</f>
        <v>500</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272</v>
      </c>
      <c r="G7" s="1537"/>
      <c r="H7" s="309"/>
      <c r="I7" s="3496"/>
      <c r="J7" s="311"/>
      <c r="K7" s="312"/>
      <c r="L7" s="307" t="s">
        <v>1311</v>
      </c>
      <c r="M7" s="308">
        <f ca="1">F7</f>
        <v>272</v>
      </c>
    </row>
    <row r="8" spans="1:37" ht="18" customHeight="1">
      <c r="A8" s="309"/>
      <c r="B8" s="3496"/>
      <c r="C8" s="311"/>
      <c r="D8" s="312"/>
      <c r="E8" s="307" t="s">
        <v>1312</v>
      </c>
      <c r="F8" s="308">
        <f ca="1">INDIRECT("'数据-取费表'!ai"&amp;$G$1)</f>
        <v>12</v>
      </c>
      <c r="G8" s="1537"/>
      <c r="H8" s="309"/>
      <c r="I8" s="3496"/>
      <c r="J8" s="311"/>
      <c r="K8" s="312"/>
      <c r="L8" s="307" t="s">
        <v>1312</v>
      </c>
      <c r="M8" s="308">
        <f ca="1">INDIRECT("'数据-取费表'!ai"&amp;$G$1)</f>
        <v>12</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2796</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5596</v>
      </c>
      <c r="D13" s="1212" t="s">
        <v>1320</v>
      </c>
      <c r="E13" s="1212"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4123</v>
      </c>
      <c r="D14" s="1498" t="s">
        <v>1323</v>
      </c>
      <c r="E14" s="1495"/>
      <c r="F14" s="324"/>
      <c r="G14" s="1537"/>
      <c r="H14" s="1112" t="s">
        <v>1003</v>
      </c>
      <c r="I14" s="307" t="s">
        <v>1324</v>
      </c>
      <c r="J14" s="24">
        <f ca="1">C29</f>
        <v>5596</v>
      </c>
      <c r="K14" s="15"/>
      <c r="L14" s="915"/>
      <c r="M14" s="916"/>
    </row>
    <row r="15" spans="1:37" s="1550" customFormat="1" ht="18" customHeight="1" thickBot="1">
      <c r="A15" s="1112" t="s">
        <v>1004</v>
      </c>
      <c r="B15" s="307" t="s">
        <v>1325</v>
      </c>
      <c r="C15" s="24">
        <f ca="1">ROUND(C14*F15,0)</f>
        <v>206</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93</v>
      </c>
      <c r="K16" s="1218" t="s">
        <v>1330</v>
      </c>
      <c r="L16" s="1219"/>
      <c r="M16" s="1203"/>
    </row>
    <row r="17" spans="1:37" s="1550" customFormat="1" ht="18" customHeight="1">
      <c r="A17" s="1112" t="s">
        <v>1295</v>
      </c>
      <c r="B17" s="307" t="s">
        <v>1331</v>
      </c>
      <c r="C17" s="24">
        <f ca="1">ROUND(F17*(F43+INDIRECT("'数据-取费表'!S"&amp;$G$1))/10000,0)</f>
        <v>236</v>
      </c>
      <c r="D17" s="307" t="s">
        <v>1332</v>
      </c>
      <c r="E17" s="307" t="s">
        <v>1333</v>
      </c>
      <c r="F17" s="26">
        <f>'数据-取费表'!B35</f>
        <v>200</v>
      </c>
      <c r="G17" s="1549"/>
      <c r="H17" s="1112" t="s">
        <v>1003</v>
      </c>
      <c r="I17" s="307" t="s">
        <v>1334</v>
      </c>
      <c r="J17" s="2503">
        <f ca="1">ROUND(IF(AND(项目基本情况!B11="自然人",项目基本情况!B10="北京市"),J6*M17/(1+'数据-取费表'!C42),J18+J19+J20),0)</f>
        <v>48</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62</v>
      </c>
      <c r="D18" s="307" t="s">
        <v>1326</v>
      </c>
      <c r="E18" s="307" t="s">
        <v>1327</v>
      </c>
      <c r="F18" s="327">
        <f>'数据-取费表'!B36</f>
        <v>1.4999999999999999E-2</v>
      </c>
      <c r="G18" s="1549"/>
      <c r="H18" s="1112" t="s">
        <v>1002</v>
      </c>
      <c r="I18" s="307" t="s">
        <v>1338</v>
      </c>
      <c r="J18" s="24">
        <f ca="1">ROUND(J6*M18/(1+'数据-取费表'!C42),2)</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4627</v>
      </c>
      <c r="D19" s="136" t="s">
        <v>1341</v>
      </c>
      <c r="E19" s="1513"/>
      <c r="F19" s="26"/>
      <c r="G19" s="1537"/>
      <c r="H19" s="1112" t="s">
        <v>1004</v>
      </c>
      <c r="I19" s="307" t="s">
        <v>1342</v>
      </c>
      <c r="J19" s="24">
        <f ca="1">IF(K19="按租金收入计税",ROUND(J6*M19/(1+'数据-取费表'!C42),2),ROUND(C29*M19*0.7,2))</f>
        <v>47.01</v>
      </c>
      <c r="K19" s="1523" t="s">
        <v>1343</v>
      </c>
      <c r="L19" s="307" t="s">
        <v>1327</v>
      </c>
      <c r="M19" s="327">
        <f>IF(K19="按租金收入计税",'数据-取费表'!B51,'数据-取费表'!B50)</f>
        <v>1.2E-2</v>
      </c>
    </row>
    <row r="20" spans="1:37" s="1550" customFormat="1" ht="18" customHeight="1">
      <c r="A20" s="1112" t="s">
        <v>1007</v>
      </c>
      <c r="B20" s="307" t="s">
        <v>1344</v>
      </c>
      <c r="C20" s="24">
        <f ca="1">ROUND(C19*F20,0)</f>
        <v>93</v>
      </c>
      <c r="D20" s="328" t="s">
        <v>1345</v>
      </c>
      <c r="E20" s="307" t="s">
        <v>1327</v>
      </c>
      <c r="F20" s="327">
        <f>'数据-取费表'!B37</f>
        <v>0.02</v>
      </c>
      <c r="G20" s="1549"/>
      <c r="H20" s="1112" t="s">
        <v>1294</v>
      </c>
      <c r="I20" s="159" t="s">
        <v>1346</v>
      </c>
      <c r="J20" s="25">
        <f ca="1">ROUND(M20*M21/10000,2)</f>
        <v>0.92</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18</v>
      </c>
      <c r="D21" s="328" t="s">
        <v>1350</v>
      </c>
      <c r="E21" s="307" t="s">
        <v>1351</v>
      </c>
      <c r="F21" s="327">
        <f>'数据-取费表'!B38</f>
        <v>0.02</v>
      </c>
      <c r="G21" s="1549"/>
      <c r="H21" s="331"/>
      <c r="I21" s="316"/>
      <c r="J21" s="29"/>
      <c r="K21" s="332"/>
      <c r="L21" s="307" t="s">
        <v>1352</v>
      </c>
      <c r="M21" s="308">
        <f ca="1">INDIRECT("'数据-取费表'!r"&amp;$G$1)</f>
        <v>6103.74</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ROUND(J14*M22,1)</f>
        <v>44.8</v>
      </c>
      <c r="K22" s="1497" t="s">
        <v>1355</v>
      </c>
      <c r="L22" s="307" t="s">
        <v>1327</v>
      </c>
      <c r="M22" s="333">
        <f ca="1">INDIRECT("'数据-取费表'!Ak"&amp;$G$1)</f>
        <v>8.0000000000000002E-3</v>
      </c>
    </row>
    <row r="23" spans="1:37" s="1550" customFormat="1" ht="18" customHeight="1">
      <c r="A23" s="1112" t="s">
        <v>1002</v>
      </c>
      <c r="B23" s="307" t="s">
        <v>1356</v>
      </c>
      <c r="C23" s="24">
        <f ca="1">IF('数据-取费表'!B22&lt;=1,ROUND(C19*F24*F23/2,0)+ROUND(C20*F24*F23/2,0),ROUND(C19*(POWER((1+F24),F23/2)-1),0)+ROUND(C20*(POWER((1+F24),F23/2)-1),0))</f>
        <v>224</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1497" t="s">
        <v>1359</v>
      </c>
      <c r="L23" s="307" t="s">
        <v>1360</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ROUND(J5*M24,1)</f>
        <v>0</v>
      </c>
      <c r="K24" s="1223" t="s">
        <v>1364</v>
      </c>
      <c r="L24" s="1221" t="s">
        <v>1360</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1513"/>
      <c r="F25" s="26"/>
      <c r="G25" s="1537"/>
      <c r="H25" s="1210" t="s">
        <v>999</v>
      </c>
      <c r="I25" s="1225" t="s">
        <v>1368</v>
      </c>
      <c r="J25" s="315">
        <f ca="1">J5-J16</f>
        <v>-93</v>
      </c>
      <c r="K25" s="1226" t="s">
        <v>1369</v>
      </c>
      <c r="L25" s="1227"/>
      <c r="M25" s="1228"/>
    </row>
    <row r="26" spans="1:37">
      <c r="A26" s="1112" t="s">
        <v>1002</v>
      </c>
      <c r="B26" s="307" t="s">
        <v>1370</v>
      </c>
      <c r="C26" s="24">
        <f ca="1">ROUND((C19+C20)*F26,0)</f>
        <v>236</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5596</v>
      </c>
      <c r="D29" s="1223"/>
      <c r="E29" s="1221"/>
      <c r="F29" s="1224"/>
      <c r="G29" s="1549"/>
      <c r="H29" s="339" t="s">
        <v>1001</v>
      </c>
      <c r="I29" s="340" t="s">
        <v>1384</v>
      </c>
      <c r="J29" s="341">
        <f ca="1">ROUND(J26/(1+F40)^F41,0)</f>
        <v>0</v>
      </c>
      <c r="K29" s="342" t="s">
        <v>1385</v>
      </c>
      <c r="L29" s="343"/>
      <c r="M29" s="344">
        <f ca="1">INDIRECT("'数据-取费表'!k"&amp;$G$1)</f>
        <v>11780.21</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107</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56</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8.1199999999999992</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47.01</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0.92</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6103.74</v>
      </c>
      <c r="G35" s="1537"/>
      <c r="H35" s="2895"/>
      <c r="I35" s="1551"/>
      <c r="J35" s="1552"/>
      <c r="K35" s="2899"/>
      <c r="L35" s="2898"/>
      <c r="M35" s="2898"/>
    </row>
    <row r="36" spans="1:18" ht="18" customHeight="1">
      <c r="A36" s="1233" t="s">
        <v>1007</v>
      </c>
      <c r="B36" s="307" t="s">
        <v>1354</v>
      </c>
      <c r="C36" s="24">
        <f ca="1">ROUND(C29*F36,1)</f>
        <v>44.8</v>
      </c>
      <c r="D36" s="1497" t="s">
        <v>1387</v>
      </c>
      <c r="E36" s="307" t="s">
        <v>1327</v>
      </c>
      <c r="F36" s="333">
        <f ca="1">INDIRECT("'数据-取费表'!Ak"&amp;$G$1)</f>
        <v>8.0000000000000002E-3</v>
      </c>
      <c r="G36" s="1537"/>
      <c r="H36" s="2898"/>
      <c r="I36" s="1551"/>
      <c r="J36" s="1552"/>
      <c r="K36" s="2739"/>
      <c r="L36" s="2898"/>
      <c r="M36" s="2898"/>
    </row>
    <row r="37" spans="1:18" ht="18" customHeight="1">
      <c r="A37" s="1112" t="s">
        <v>1043</v>
      </c>
      <c r="B37" s="307" t="s">
        <v>1358</v>
      </c>
      <c r="C37" s="24">
        <f ca="1">ROUND(C13*F37,1)</f>
        <v>5.6</v>
      </c>
      <c r="D37" s="1497" t="s">
        <v>1359</v>
      </c>
      <c r="E37" s="307" t="s">
        <v>1360</v>
      </c>
      <c r="F37" s="335">
        <f ca="1">INDIRECT("'数据-取费表'!Al"&amp;$G$1)</f>
        <v>1E-3</v>
      </c>
      <c r="G37" s="1537"/>
      <c r="H37" s="2898"/>
      <c r="I37" s="1551"/>
      <c r="J37" s="1552"/>
      <c r="K37" s="2739"/>
      <c r="L37" s="2898"/>
      <c r="M37" s="2898"/>
    </row>
    <row r="38" spans="1:18" ht="18" customHeight="1" thickBot="1">
      <c r="A38" s="1220" t="s">
        <v>1298</v>
      </c>
      <c r="B38" s="1221" t="s">
        <v>1344</v>
      </c>
      <c r="C38" s="1222">
        <f ca="1">ROUND(C5*F38,1)</f>
        <v>0.8</v>
      </c>
      <c r="D38" s="1223" t="s">
        <v>1364</v>
      </c>
      <c r="E38" s="1221" t="s">
        <v>1360</v>
      </c>
      <c r="F38" s="1217">
        <f ca="1">INDIRECT("'数据-取费表'!Am"&amp;$G$1)</f>
        <v>5.0000000000000001E-3</v>
      </c>
      <c r="G38" s="1537"/>
      <c r="H38" s="2898"/>
      <c r="I38" s="1551"/>
      <c r="J38" s="1552"/>
      <c r="K38" s="2902"/>
      <c r="L38" s="2898"/>
      <c r="M38" s="2898"/>
    </row>
    <row r="39" spans="1:18" ht="24.6" customHeight="1" thickTop="1">
      <c r="A39" s="1210" t="s">
        <v>999</v>
      </c>
      <c r="B39" s="1225" t="s">
        <v>1388</v>
      </c>
      <c r="C39" s="315">
        <f ca="1">C5-C30</f>
        <v>48</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1482</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1258</v>
      </c>
      <c r="D43" s="342" t="s">
        <v>1393</v>
      </c>
      <c r="E43" s="343" t="s">
        <v>1394</v>
      </c>
      <c r="F43" s="344">
        <f ca="1">INDIRECT("'数据-取费表'!k"&amp;$G$1)</f>
        <v>11780.21</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-3768</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1482</v>
      </c>
      <c r="R47" s="1573" t="s">
        <v>1434</v>
      </c>
    </row>
    <row r="48" spans="1:18" s="1537" customFormat="1" ht="28.5" thickBot="1">
      <c r="A48" s="1241" t="s">
        <v>1044</v>
      </c>
      <c r="B48" s="305" t="s">
        <v>1306</v>
      </c>
      <c r="C48" s="1512">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2789</v>
      </c>
      <c r="E49" s="1525" t="s">
        <v>1396</v>
      </c>
      <c r="F49" s="1190">
        <v>0</v>
      </c>
      <c r="G49" s="1578"/>
      <c r="H49" s="731"/>
      <c r="I49" s="1574" t="s">
        <v>1439</v>
      </c>
      <c r="J49" s="1579">
        <v>2022</v>
      </c>
      <c r="K49" s="1576" t="s">
        <v>1440</v>
      </c>
      <c r="L49" s="1580"/>
      <c r="O49" s="1581" t="s">
        <v>1010</v>
      </c>
      <c r="P49" s="1572" t="s">
        <v>1441</v>
      </c>
      <c r="Q49" s="1573">
        <f ca="1">C29</f>
        <v>5596</v>
      </c>
      <c r="R49" s="1573" t="s">
        <v>1434</v>
      </c>
    </row>
    <row r="50" spans="1:18" s="1537" customFormat="1" ht="13.5" thickBot="1">
      <c r="A50" s="1106"/>
      <c r="B50" s="1109"/>
      <c r="C50" s="1249"/>
      <c r="D50" s="1083"/>
      <c r="E50" s="1186" t="s">
        <v>1311</v>
      </c>
      <c r="F50" s="1187">
        <f ca="1">F7</f>
        <v>272</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12</v>
      </c>
      <c r="I51" s="1585" t="s">
        <v>1445</v>
      </c>
      <c r="J51" s="1586">
        <f>IF(J49="",J50,J49+J50-YEAR('数据-取费表'!B2))</f>
        <v>60</v>
      </c>
      <c r="K51" s="1587" t="s">
        <v>1446</v>
      </c>
      <c r="L51" s="1588">
        <f ca="1">ROUND(-PV(INDIRECT("'数据-取费表'!h"&amp;$G$1),J51,(C39-C13*C76),0),0)</f>
        <v>-7876</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1482</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7">
        <v>2</v>
      </c>
      <c r="B56" s="1088" t="s">
        <v>1319</v>
      </c>
      <c r="C56" s="237">
        <f ca="1">C13</f>
        <v>5596</v>
      </c>
      <c r="D56" s="1600"/>
      <c r="E56" s="1601"/>
      <c r="F56" s="1593"/>
      <c r="I56" s="1602" t="s">
        <v>1459</v>
      </c>
      <c r="J56" s="1603" t="s">
        <v>3134</v>
      </c>
      <c r="K56" s="1574" t="s">
        <v>1460</v>
      </c>
      <c r="L56" s="1577" t="str">
        <f ca="1">IF(L48&lt;J51,"——",L48-J53)</f>
        <v>——</v>
      </c>
      <c r="O56" s="1571" t="s">
        <v>1008</v>
      </c>
      <c r="P56" s="1572" t="s">
        <v>1433</v>
      </c>
      <c r="Q56" s="1573">
        <f ca="1">C40+J29</f>
        <v>1482</v>
      </c>
      <c r="R56" s="1573" t="s">
        <v>1434</v>
      </c>
    </row>
    <row r="57" spans="1:18" s="1537" customFormat="1" ht="24.75" thickBot="1">
      <c r="A57" s="1604"/>
      <c r="B57" s="1080" t="s">
        <v>1383</v>
      </c>
      <c r="C57" s="243">
        <f ca="1">C29</f>
        <v>5596</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98</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48</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IF(项目基本情况!B11="自然人","——",IF(D61="按租金收入计税",ROUND(C49*F61/(1+'数据-取费表'!C42),2),IF(D61="按房产原值计税",ROUND(C57*F61*0.7,2),INDIRECT("'数据-取费表'!Aj"&amp;$G$1))))</f>
        <v>47.01</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IF(项目基本情况!B11="自然人","——",ROUND(F62*F63/10000,2))</f>
        <v>0.92</v>
      </c>
      <c r="D62" s="1095" t="s">
        <v>1402</v>
      </c>
      <c r="E62" s="1080" t="s">
        <v>1403</v>
      </c>
      <c r="F62" s="330">
        <f t="shared" si="0"/>
        <v>1.5</v>
      </c>
      <c r="I62" s="1615" t="s">
        <v>1475</v>
      </c>
      <c r="J62" s="1616" t="s">
        <v>1476</v>
      </c>
      <c r="K62" s="1616" t="s">
        <v>1477</v>
      </c>
      <c r="L62" s="1616" t="s">
        <v>1478</v>
      </c>
      <c r="M62" s="1617" t="s">
        <v>1479</v>
      </c>
      <c r="O62" s="1571" t="s">
        <v>1014</v>
      </c>
      <c r="P62" s="1572" t="s">
        <v>1480</v>
      </c>
      <c r="Q62" s="1573">
        <f ca="1">Q56+Q57</f>
        <v>1482</v>
      </c>
      <c r="R62" s="1573" t="s">
        <v>1015</v>
      </c>
    </row>
    <row r="63" spans="1:18" s="1537" customFormat="1" ht="13.5" thickBot="1">
      <c r="A63" s="331"/>
      <c r="B63" s="1086"/>
      <c r="C63" s="29"/>
      <c r="D63" s="1096"/>
      <c r="E63" s="1080" t="s">
        <v>1404</v>
      </c>
      <c r="F63" s="308">
        <f t="shared" ca="1" si="0"/>
        <v>6103.74</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ROUND(C57*F64,1)</f>
        <v>44.8</v>
      </c>
      <c r="D64" s="1094" t="s">
        <v>1407</v>
      </c>
      <c r="E64" s="1080" t="s">
        <v>1399</v>
      </c>
      <c r="F64" s="333">
        <f t="shared" ca="1" si="0"/>
        <v>8.0000000000000002E-3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5.6</v>
      </c>
      <c r="D65" s="1094" t="s">
        <v>1359</v>
      </c>
      <c r="E65" s="1080" t="s">
        <v>1360</v>
      </c>
      <c r="F65" s="335">
        <f t="shared" ca="1" si="0"/>
        <v>1E-3</v>
      </c>
      <c r="I65" s="1615" t="s">
        <v>1484</v>
      </c>
      <c r="J65" s="1616">
        <v>40</v>
      </c>
      <c r="K65" s="1616">
        <v>30</v>
      </c>
      <c r="L65" s="1616">
        <v>50</v>
      </c>
      <c r="M65" s="1618">
        <v>0.02</v>
      </c>
      <c r="O65" s="1571" t="s">
        <v>1008</v>
      </c>
      <c r="P65" s="1572" t="s">
        <v>1485</v>
      </c>
      <c r="Q65" s="1573">
        <f ca="1">C40+J29</f>
        <v>1482</v>
      </c>
      <c r="R65" s="1573" t="s">
        <v>1434</v>
      </c>
    </row>
    <row r="66" spans="1:18" s="1537" customFormat="1" ht="16.5" thickBot="1">
      <c r="A66" s="1112" t="s">
        <v>1409</v>
      </c>
      <c r="B66" s="1080" t="s">
        <v>1344</v>
      </c>
      <c r="C66" s="24">
        <f ca="1">ROUND(C48*F66,1)</f>
        <v>0</v>
      </c>
      <c r="D66" s="1094" t="s">
        <v>1410</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-98</v>
      </c>
      <c r="D67" s="1093" t="s">
        <v>1369</v>
      </c>
      <c r="E67" s="1098"/>
      <c r="F67" s="1099"/>
      <c r="O67" s="1581" t="s">
        <v>1010</v>
      </c>
      <c r="P67" s="1572" t="s">
        <v>1467</v>
      </c>
      <c r="Q67" s="1619">
        <f ca="1">L51</f>
        <v>-7876</v>
      </c>
      <c r="R67" s="1573" t="s">
        <v>1487</v>
      </c>
    </row>
    <row r="68" spans="1:18" s="1537" customFormat="1" ht="16.5" thickBot="1">
      <c r="A68" s="1077" t="s">
        <v>1000</v>
      </c>
      <c r="B68" s="1078" t="s">
        <v>1390</v>
      </c>
      <c r="C68" s="306">
        <f ca="1">ROUND(C67*(1-((1+F70)/(1+F68))^F69)/(F68-F70),0)</f>
        <v>-2286</v>
      </c>
      <c r="D68" s="1095" t="s">
        <v>1374</v>
      </c>
      <c r="E68" s="1080" t="s">
        <v>1375</v>
      </c>
      <c r="F68" s="317">
        <f ca="1">F40</f>
        <v>3.5000000000000003E-2</v>
      </c>
      <c r="O68" s="1581" t="s">
        <v>1011</v>
      </c>
      <c r="P68" s="1620" t="s">
        <v>1488</v>
      </c>
      <c r="Q68" s="1573">
        <f ca="1">ROUND(Q69-Q70*Q71,0)</f>
        <v>-316</v>
      </c>
      <c r="R68" s="1573" t="s">
        <v>1019</v>
      </c>
    </row>
    <row r="69" spans="1:18" s="1537" customFormat="1" ht="13.5" thickBot="1">
      <c r="A69" s="1081"/>
      <c r="B69" s="1082"/>
      <c r="C69" s="311"/>
      <c r="D69" s="1100" t="s">
        <v>1378</v>
      </c>
      <c r="E69" s="1080" t="s">
        <v>1379</v>
      </c>
      <c r="F69" s="338">
        <f ca="1">F41</f>
        <v>49.25</v>
      </c>
      <c r="O69" s="1581" t="s">
        <v>1016</v>
      </c>
      <c r="P69" s="1620" t="s">
        <v>1489</v>
      </c>
      <c r="Q69" s="1573">
        <f ca="1">C39</f>
        <v>48</v>
      </c>
      <c r="R69" s="1573" t="s">
        <v>1434</v>
      </c>
    </row>
    <row r="70" spans="1:18" s="1537" customFormat="1" ht="13.5" thickBot="1">
      <c r="A70" s="1084"/>
      <c r="B70" s="1085"/>
      <c r="C70" s="315"/>
      <c r="D70" s="1096"/>
      <c r="E70" s="1080" t="s">
        <v>1382</v>
      </c>
      <c r="F70" s="1184"/>
      <c r="O70" s="1581" t="s">
        <v>1017</v>
      </c>
      <c r="P70" s="1620" t="s">
        <v>1490</v>
      </c>
      <c r="Q70" s="1573">
        <f ca="1">C13</f>
        <v>5596</v>
      </c>
      <c r="R70" s="1573" t="s">
        <v>1434</v>
      </c>
    </row>
    <row r="71" spans="1:18" s="1537" customFormat="1" ht="13.5" thickBot="1">
      <c r="A71" s="1101" t="s">
        <v>1001</v>
      </c>
      <c r="B71" s="1102" t="s">
        <v>1392</v>
      </c>
      <c r="C71" s="341">
        <f ca="1">ROUND(C68*10000/F71,0)</f>
        <v>-1941</v>
      </c>
      <c r="D71" s="1103" t="s">
        <v>1393</v>
      </c>
      <c r="E71" s="1104" t="s">
        <v>1394</v>
      </c>
      <c r="F71" s="344">
        <f ca="1">F43</f>
        <v>11780.21</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364</v>
      </c>
      <c r="D75" s="1537"/>
      <c r="E75" s="1537"/>
      <c r="F75" s="1537"/>
      <c r="K75" s="1555"/>
      <c r="L75" s="1537"/>
      <c r="O75" s="1571" t="s">
        <v>1014</v>
      </c>
      <c r="P75" s="1572" t="s">
        <v>1454</v>
      </c>
      <c r="Q75" s="1573">
        <f ca="1">Q65+Q66</f>
        <v>1482</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-6.5830000000000002</v>
      </c>
    </row>
    <row r="80" spans="1:18">
      <c r="B80" s="345" t="s">
        <v>1416</v>
      </c>
      <c r="C80" s="279">
        <f ca="1">ROUND(C75/C39,3)</f>
        <v>7.5830000000000002</v>
      </c>
    </row>
    <row r="81" spans="2:3">
      <c r="B81" s="275" t="s">
        <v>1417</v>
      </c>
      <c r="C81" s="243"/>
    </row>
    <row r="82" spans="2:3">
      <c r="B82" s="278" t="s">
        <v>1418</v>
      </c>
      <c r="C82" s="280">
        <f ca="1">1-C83</f>
        <v>-2.7759999999999998</v>
      </c>
    </row>
    <row r="83" spans="2:3">
      <c r="B83" s="278" t="s">
        <v>1419</v>
      </c>
      <c r="C83" s="279">
        <f ca="1">ROUND(C13/C40,3)</f>
        <v>3.7759999999999998</v>
      </c>
    </row>
  </sheetData>
  <sheetProtection formatCells="0" formatColumns="0" formatRows="0"/>
  <mergeCells count="3">
    <mergeCell ref="K53:L53"/>
    <mergeCell ref="B6:B9"/>
    <mergeCell ref="I6:I9"/>
  </mergeCells>
  <phoneticPr fontId="3" type="noConversion"/>
  <conditionalFormatting sqref="K55 K60">
    <cfRule type="expression" dxfId="162" priority="56">
      <formula>$L$48&gt;$J$51</formula>
    </cfRule>
  </conditionalFormatting>
  <conditionalFormatting sqref="I55 I60">
    <cfRule type="expression" dxfId="161" priority="57">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tint="-4.9989318521683403E-2"/>
  </sheetPr>
  <dimension ref="A1"/>
  <sheetViews>
    <sheetView topLeftCell="A16" workbookViewId="0">
      <selection activeCell="N2" sqref="N2"/>
    </sheetView>
  </sheetViews>
  <sheetFormatPr defaultRowHeight="13.5"/>
  <sheetData/>
  <phoneticPr fontId="140"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IF(C2="——",ROUND(C37*D3/10000,0),ROUND(C37*D3/10000,0)-D2)</f>
        <v>#DIV/0!</v>
      </c>
      <c r="C2" s="2036"/>
      <c r="D2" s="1037" t="e">
        <f ca="1">SUMIF(INDIRECT("'"&amp;F2&amp;"'"&amp;"!A:A"),"承租人权益价值",INDIRECT("'"&amp;F2&amp;"'"&amp;"!c:c"))</f>
        <v>#REF!</v>
      </c>
      <c r="E2" s="2037" t="s">
        <v>2089</v>
      </c>
      <c r="F2" s="2038"/>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SUMIF(46:46,YEAR(E7)&amp;"-"&amp;MONTH(E7),47:47)</f>
        <v>0</v>
      </c>
      <c r="G7" s="2129"/>
      <c r="H7" s="370">
        <f>SUMIF(46:46,YEAR(G7)&amp;"-"&amp;MONTH(G7),47:47)</f>
        <v>0</v>
      </c>
      <c r="I7" s="371"/>
      <c r="J7" s="370">
        <f>SUMIF(46:46,YEAR(I7)&amp;"-"&amp;MONTH(I7),47:47)</f>
        <v>0</v>
      </c>
      <c r="K7" s="567"/>
      <c r="L7" s="2915"/>
      <c r="M7" s="2916"/>
      <c r="N7" s="2916"/>
      <c r="O7" s="2916"/>
      <c r="P7" s="3389" t="s">
        <v>2310</v>
      </c>
      <c r="Q7" s="3391"/>
      <c r="R7" s="709" t="s">
        <v>17</v>
      </c>
      <c r="S7" s="710">
        <f t="shared" ref="S7:S14" si="0">F7</f>
        <v>0</v>
      </c>
      <c r="T7" s="709" t="s">
        <v>17</v>
      </c>
      <c r="U7" s="710">
        <f t="shared" ref="U7:U14" si="1">H7</f>
        <v>0</v>
      </c>
      <c r="V7" s="709" t="s">
        <v>17</v>
      </c>
      <c r="W7" s="710">
        <f t="shared" ref="W7:W14" si="2">J7</f>
        <v>0</v>
      </c>
      <c r="X7" s="711"/>
      <c r="Y7" s="3389" t="s">
        <v>2310</v>
      </c>
      <c r="Z7" s="3390"/>
      <c r="AA7" s="712" t="e">
        <f>D7/F7</f>
        <v>#DIV/0!</v>
      </c>
      <c r="AB7" s="712" t="e">
        <f>D7/H7</f>
        <v>#DIV/0!</v>
      </c>
      <c r="AC7" s="712" t="e">
        <f>D7/J7</f>
        <v>#DIV/0!</v>
      </c>
    </row>
    <row r="8" spans="1:29" s="113"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34" si="3">D8/F8</f>
        <v>#DIV/0!</v>
      </c>
      <c r="AB8" s="712" t="e">
        <f t="shared" ref="AB8:AB34" si="4">D8/H8</f>
        <v>#DIV/0!</v>
      </c>
      <c r="AC8" s="712" t="e">
        <f t="shared" ref="AC8:AC34" si="5">D8/J8</f>
        <v>#DIV/0!</v>
      </c>
    </row>
    <row r="9" spans="1:29" s="113" customFormat="1">
      <c r="A9" s="374" t="s">
        <v>2314</v>
      </c>
      <c r="B9" s="67" t="s">
        <v>2315</v>
      </c>
      <c r="C9" s="375"/>
      <c r="D9" s="131">
        <v>100</v>
      </c>
      <c r="E9" s="378"/>
      <c r="F9" s="377">
        <f>SUMIF(51:51,E9,52:52)-SUMIF(51:51,C9,52:52)+100</f>
        <v>100</v>
      </c>
      <c r="G9" s="378"/>
      <c r="H9" s="131">
        <f>SUMIF(51:51,G9,52:52)-SUMIF(51:51,C9,52:52)+100</f>
        <v>100</v>
      </c>
      <c r="I9" s="378"/>
      <c r="J9" s="131">
        <f>SUMIF(51:51,I9,52:52)-SUMIF(51:51,C9,52:52)+100</f>
        <v>100</v>
      </c>
      <c r="K9" s="567"/>
      <c r="L9" s="2915"/>
      <c r="M9" s="2916"/>
      <c r="N9" s="2916"/>
      <c r="O9" s="2970"/>
      <c r="P9" s="3355" t="s">
        <v>2316</v>
      </c>
      <c r="Q9" s="1496" t="str">
        <f t="shared" ref="Q9:Q14" si="6">B9</f>
        <v>用途</v>
      </c>
      <c r="R9" s="709" t="s">
        <v>17</v>
      </c>
      <c r="S9" s="710">
        <f t="shared" si="0"/>
        <v>100</v>
      </c>
      <c r="T9" s="709" t="s">
        <v>17</v>
      </c>
      <c r="U9" s="710">
        <f t="shared" si="1"/>
        <v>100</v>
      </c>
      <c r="V9" s="709" t="s">
        <v>17</v>
      </c>
      <c r="W9" s="710">
        <f t="shared" si="2"/>
        <v>100</v>
      </c>
      <c r="X9" s="711"/>
      <c r="Y9" s="3364" t="s">
        <v>2317</v>
      </c>
      <c r="Z9" s="55" t="str">
        <f t="shared" ref="Z9:Z14" si="7">Q9</f>
        <v>用途</v>
      </c>
      <c r="AA9" s="712">
        <f t="shared" si="3"/>
        <v>1</v>
      </c>
      <c r="AB9" s="712">
        <f t="shared" si="4"/>
        <v>1</v>
      </c>
      <c r="AC9" s="712">
        <f t="shared" si="5"/>
        <v>1</v>
      </c>
    </row>
    <row r="10" spans="1:29" s="385" customFormat="1" ht="27">
      <c r="A10" s="379"/>
      <c r="B10" s="380" t="s">
        <v>2318</v>
      </c>
      <c r="C10" s="381"/>
      <c r="D10" s="132">
        <v>100</v>
      </c>
      <c r="E10" s="381"/>
      <c r="F10" s="383">
        <f>SUMIF(53:53,E10,54:54)-SUMIF(53:53,C10,54:54)+100</f>
        <v>100</v>
      </c>
      <c r="G10" s="381"/>
      <c r="H10" s="132">
        <f>SUMIF(53:53,G10,54:54)-SUMIF(53:53,C10,54:54)+100</f>
        <v>100</v>
      </c>
      <c r="I10" s="381"/>
      <c r="J10" s="132">
        <f>SUMIF(53:53,I10,54:54)-SUMIF(53:53,C10,54:54)+100</f>
        <v>100</v>
      </c>
      <c r="K10" s="568"/>
      <c r="L10" s="2917"/>
      <c r="M10" s="2918"/>
      <c r="N10" s="2918"/>
      <c r="O10" s="2971"/>
      <c r="P10" s="3355"/>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2048">
        <v>111</v>
      </c>
      <c r="C11" s="390"/>
      <c r="D11" s="132">
        <v>100</v>
      </c>
      <c r="E11" s="427"/>
      <c r="F11" s="383">
        <f>SUMIF(55:55,E11,56:56)-SUMIF(55:55,C11,56:56)+100</f>
        <v>100</v>
      </c>
      <c r="G11" s="427"/>
      <c r="H11" s="132">
        <f>SUMIF(55:55,G11,56:56)-SUMIF(55:55,C11,56:56)+100</f>
        <v>100</v>
      </c>
      <c r="I11" s="427"/>
      <c r="J11" s="132">
        <f>SUMIF(55:55,I11,56:56)-SUMIF(55:55,C11,56:56)+100</f>
        <v>100</v>
      </c>
      <c r="K11" s="569"/>
      <c r="L11" s="2919"/>
      <c r="M11" s="2914"/>
      <c r="N11" s="2914"/>
      <c r="O11" s="2972"/>
      <c r="P11" s="3355"/>
      <c r="Q11" s="1496">
        <f t="shared" si="6"/>
        <v>111</v>
      </c>
      <c r="R11" s="709" t="s">
        <v>17</v>
      </c>
      <c r="S11" s="710">
        <f t="shared" si="0"/>
        <v>100</v>
      </c>
      <c r="T11" s="709" t="s">
        <v>17</v>
      </c>
      <c r="U11" s="710">
        <f t="shared" si="1"/>
        <v>100</v>
      </c>
      <c r="V11" s="709" t="s">
        <v>17</v>
      </c>
      <c r="W11" s="710">
        <f t="shared" si="2"/>
        <v>100</v>
      </c>
      <c r="X11" s="711"/>
      <c r="Y11" s="3364"/>
      <c r="Z11" s="55">
        <f t="shared" si="7"/>
        <v>111</v>
      </c>
      <c r="AA11" s="712">
        <f t="shared" si="3"/>
        <v>1</v>
      </c>
      <c r="AB11" s="712">
        <f t="shared" si="4"/>
        <v>1</v>
      </c>
      <c r="AC11" s="712">
        <f t="shared" si="5"/>
        <v>1</v>
      </c>
    </row>
    <row r="12" spans="1:29" s="113" customFormat="1" ht="15">
      <c r="A12" s="389"/>
      <c r="B12" s="2048">
        <v>111</v>
      </c>
      <c r="C12" s="390"/>
      <c r="D12" s="391">
        <v>100</v>
      </c>
      <c r="E12" s="427"/>
      <c r="F12" s="383">
        <f>SUMIF(57:57,E12,58:58)-SUMIF(57:57,C12,58:58)+100</f>
        <v>100</v>
      </c>
      <c r="G12" s="427"/>
      <c r="H12" s="132">
        <f>SUMIF(57:57,G12,58:58)-SUMIF(57:57,C12,58:58)+100</f>
        <v>100</v>
      </c>
      <c r="I12" s="427"/>
      <c r="J12" s="132">
        <f>SUMIF(57:57,I12,58:58)-SUMIF(57:57,C12,58:58)+100</f>
        <v>100</v>
      </c>
      <c r="K12" s="569"/>
      <c r="L12" s="2915"/>
      <c r="M12" s="2916"/>
      <c r="N12" s="2916"/>
      <c r="O12" s="2970"/>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30"/>
      <c r="H13" s="396">
        <f>SUMIF(59:59,G13,60:60)-SUMIF(59:59,C13,60:60)+100</f>
        <v>100</v>
      </c>
      <c r="I13" s="427"/>
      <c r="J13" s="393">
        <f>SUMIF(59:59,I13,60:60)-SUMIF(59:59,C13,60:60)+100</f>
        <v>100</v>
      </c>
      <c r="K13" s="569"/>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85.5">
      <c r="A14" s="398" t="s">
        <v>2320</v>
      </c>
      <c r="B14" s="65" t="s">
        <v>2470</v>
      </c>
      <c r="C14" s="2126"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20"/>
      <c r="M14" s="2914"/>
      <c r="N14" s="2914"/>
      <c r="O14" s="2972"/>
      <c r="P14" s="3360" t="s">
        <v>2321</v>
      </c>
      <c r="Q14" s="1505" t="str">
        <f t="shared" si="6"/>
        <v>交通便捷度</v>
      </c>
      <c r="R14" s="713" t="s">
        <v>17</v>
      </c>
      <c r="S14" s="714">
        <f t="shared" si="0"/>
        <v>100</v>
      </c>
      <c r="T14" s="713" t="s">
        <v>17</v>
      </c>
      <c r="U14" s="714">
        <f t="shared" si="1"/>
        <v>100</v>
      </c>
      <c r="V14" s="713" t="s">
        <v>17</v>
      </c>
      <c r="W14" s="714">
        <f t="shared" si="2"/>
        <v>100</v>
      </c>
      <c r="X14" s="1508"/>
      <c r="Y14" s="3360" t="s">
        <v>2321</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20"/>
      <c r="M15" s="2914"/>
      <c r="N15" s="2914"/>
      <c r="O15" s="2972"/>
      <c r="P15" s="3361"/>
      <c r="Q15" s="1505"/>
      <c r="R15" s="713"/>
      <c r="S15" s="714"/>
      <c r="T15" s="713"/>
      <c r="U15" s="714"/>
      <c r="V15" s="713"/>
      <c r="W15" s="714"/>
      <c r="X15" s="1508"/>
      <c r="Y15" s="3361"/>
      <c r="Z15" s="1509"/>
      <c r="AA15" s="1506">
        <v>1</v>
      </c>
      <c r="AB15" s="1506">
        <v>1</v>
      </c>
      <c r="AC15" s="1506">
        <v>1</v>
      </c>
    </row>
    <row r="16" spans="1:29" ht="42.75">
      <c r="A16" s="386"/>
      <c r="B16" s="409" t="s">
        <v>2449</v>
      </c>
      <c r="C16" s="2055"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20"/>
      <c r="M16" s="2914"/>
      <c r="N16" s="2914"/>
      <c r="O16" s="2972"/>
      <c r="P16" s="3361"/>
      <c r="Q16" s="1505" t="str">
        <f>B16</f>
        <v>公共配套设施</v>
      </c>
      <c r="R16" s="713" t="s">
        <v>17</v>
      </c>
      <c r="S16" s="714">
        <f>F16</f>
        <v>100</v>
      </c>
      <c r="T16" s="713" t="s">
        <v>17</v>
      </c>
      <c r="U16" s="714">
        <f>H16</f>
        <v>100</v>
      </c>
      <c r="V16" s="713" t="s">
        <v>17</v>
      </c>
      <c r="W16" s="714">
        <f>J16</f>
        <v>100</v>
      </c>
      <c r="X16" s="1508"/>
      <c r="Y16" s="3361"/>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20"/>
      <c r="M17" s="2914"/>
      <c r="N17" s="2914"/>
      <c r="O17" s="2972"/>
      <c r="P17" s="3361"/>
      <c r="Q17" s="1505"/>
      <c r="R17" s="713"/>
      <c r="S17" s="714"/>
      <c r="T17" s="713"/>
      <c r="U17" s="714"/>
      <c r="V17" s="713"/>
      <c r="W17" s="714"/>
      <c r="X17" s="1508"/>
      <c r="Y17" s="3361"/>
      <c r="Z17" s="1509"/>
      <c r="AA17" s="1506">
        <v>1</v>
      </c>
      <c r="AB17" s="1506">
        <v>1</v>
      </c>
      <c r="AC17" s="1506">
        <v>1</v>
      </c>
    </row>
    <row r="18" spans="1:29" ht="28.5">
      <c r="A18" s="386"/>
      <c r="B18" s="1264" t="s">
        <v>2450</v>
      </c>
      <c r="C18" s="2055"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20"/>
      <c r="M18" s="2914"/>
      <c r="N18" s="2914"/>
      <c r="O18" s="2972"/>
      <c r="P18" s="3361"/>
      <c r="Q18" s="1505" t="str">
        <f>B18</f>
        <v>基础设施水平</v>
      </c>
      <c r="R18" s="713" t="s">
        <v>17</v>
      </c>
      <c r="S18" s="714">
        <f>F18</f>
        <v>100</v>
      </c>
      <c r="T18" s="713" t="s">
        <v>17</v>
      </c>
      <c r="U18" s="714">
        <f>H18</f>
        <v>100</v>
      </c>
      <c r="V18" s="713" t="s">
        <v>17</v>
      </c>
      <c r="W18" s="714">
        <f>J18</f>
        <v>100</v>
      </c>
      <c r="X18" s="1508"/>
      <c r="Y18" s="3361"/>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20"/>
      <c r="M19" s="2914"/>
      <c r="N19" s="2914"/>
      <c r="O19" s="2972"/>
      <c r="P19" s="3361"/>
      <c r="Q19" s="1505"/>
      <c r="R19" s="713"/>
      <c r="S19" s="714"/>
      <c r="T19" s="713"/>
      <c r="U19" s="714"/>
      <c r="V19" s="713"/>
      <c r="W19" s="714"/>
      <c r="X19" s="1508"/>
      <c r="Y19" s="3361"/>
      <c r="Z19" s="1509"/>
      <c r="AA19" s="1506">
        <v>1</v>
      </c>
      <c r="AB19" s="1506">
        <v>1</v>
      </c>
      <c r="AC19" s="1506">
        <v>1</v>
      </c>
    </row>
    <row r="20" spans="1:29" ht="57">
      <c r="A20" s="386"/>
      <c r="B20" s="409" t="s">
        <v>2471</v>
      </c>
      <c r="C20" s="2055"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20"/>
      <c r="M20" s="2914"/>
      <c r="N20" s="2914"/>
      <c r="O20" s="2972"/>
      <c r="P20" s="3361"/>
      <c r="Q20" s="1505" t="str">
        <f>B20</f>
        <v>自然及人文环境</v>
      </c>
      <c r="R20" s="713" t="s">
        <v>17</v>
      </c>
      <c r="S20" s="714">
        <f>F20</f>
        <v>100</v>
      </c>
      <c r="T20" s="713" t="s">
        <v>17</v>
      </c>
      <c r="U20" s="714">
        <f>H20</f>
        <v>100</v>
      </c>
      <c r="V20" s="713" t="s">
        <v>17</v>
      </c>
      <c r="W20" s="714">
        <f>J20</f>
        <v>100</v>
      </c>
      <c r="X20" s="1508"/>
      <c r="Y20" s="3361"/>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20"/>
      <c r="M21" s="2914"/>
      <c r="N21" s="2914"/>
      <c r="O21" s="2972"/>
      <c r="P21" s="3361"/>
      <c r="Q21" s="1505"/>
      <c r="R21" s="713"/>
      <c r="S21" s="714"/>
      <c r="T21" s="713"/>
      <c r="U21" s="714"/>
      <c r="V21" s="713"/>
      <c r="W21" s="714"/>
      <c r="X21" s="1508"/>
      <c r="Y21" s="3361"/>
      <c r="Z21" s="1509"/>
      <c r="AA21" s="1506">
        <v>1</v>
      </c>
      <c r="AB21" s="1506">
        <v>1</v>
      </c>
      <c r="AC21" s="1506">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20"/>
      <c r="M22" s="2914"/>
      <c r="N22" s="2914"/>
      <c r="O22" s="2972"/>
      <c r="P22" s="3361"/>
      <c r="Q22" s="1505" t="str">
        <f>B22</f>
        <v>楼层</v>
      </c>
      <c r="R22" s="713" t="s">
        <v>17</v>
      </c>
      <c r="S22" s="714">
        <f>F22</f>
        <v>100</v>
      </c>
      <c r="T22" s="713" t="s">
        <v>17</v>
      </c>
      <c r="U22" s="714">
        <f>H22</f>
        <v>100</v>
      </c>
      <c r="V22" s="713" t="s">
        <v>17</v>
      </c>
      <c r="W22" s="714">
        <f>J22</f>
        <v>100</v>
      </c>
      <c r="X22" s="1508"/>
      <c r="Y22" s="3361"/>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20"/>
      <c r="M23" s="2914"/>
      <c r="N23" s="2914"/>
      <c r="O23" s="2972"/>
      <c r="P23" s="3361"/>
      <c r="Q23" s="1505">
        <f>B23</f>
        <v>111</v>
      </c>
      <c r="R23" s="713" t="s">
        <v>17</v>
      </c>
      <c r="S23" s="714">
        <f>F23</f>
        <v>100</v>
      </c>
      <c r="T23" s="713" t="s">
        <v>17</v>
      </c>
      <c r="U23" s="714">
        <f>H23</f>
        <v>100</v>
      </c>
      <c r="V23" s="713" t="s">
        <v>17</v>
      </c>
      <c r="W23" s="714">
        <f>J23</f>
        <v>100</v>
      </c>
      <c r="X23" s="1508"/>
      <c r="Y23" s="3361"/>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20"/>
      <c r="M24" s="2914"/>
      <c r="N24" s="2914"/>
      <c r="O24" s="2972"/>
      <c r="P24" s="3361"/>
      <c r="Q24" s="1505">
        <f t="shared" ref="Q24:Q34" si="11">B24</f>
        <v>111</v>
      </c>
      <c r="R24" s="713" t="s">
        <v>17</v>
      </c>
      <c r="S24" s="714">
        <f>F24</f>
        <v>100</v>
      </c>
      <c r="T24" s="713" t="s">
        <v>17</v>
      </c>
      <c r="U24" s="714">
        <f>H24</f>
        <v>100</v>
      </c>
      <c r="V24" s="713" t="s">
        <v>17</v>
      </c>
      <c r="W24" s="714">
        <f>J24</f>
        <v>100</v>
      </c>
      <c r="X24" s="1508"/>
      <c r="Y24" s="3361"/>
      <c r="Z24" s="1509">
        <f>Q24</f>
        <v>111</v>
      </c>
      <c r="AA24" s="1506">
        <f t="shared" si="3"/>
        <v>1</v>
      </c>
      <c r="AB24" s="1506">
        <f t="shared" si="4"/>
        <v>1</v>
      </c>
      <c r="AC24" s="1506">
        <f t="shared" si="5"/>
        <v>1</v>
      </c>
    </row>
    <row r="25" spans="1:29" s="113" customFormat="1" ht="15.75" thickBot="1">
      <c r="A25" s="389"/>
      <c r="B25" s="2048">
        <v>111</v>
      </c>
      <c r="C25" s="2131"/>
      <c r="D25" s="620">
        <v>100</v>
      </c>
      <c r="E25" s="2131"/>
      <c r="F25" s="621">
        <f>SUMIF(75:75,E25,76:76)-SUMIF(75:75,C25,76:76)+100</f>
        <v>100</v>
      </c>
      <c r="G25" s="2131"/>
      <c r="H25" s="620">
        <f>SUMIF(75:75,G25,76:76)-SUMIF(75:75,C25,76:76)+100</f>
        <v>100</v>
      </c>
      <c r="I25" s="2131"/>
      <c r="J25" s="620">
        <f>SUMIF(75:75,I25,76:76)-SUMIF(75:75,C25,76:76)+100</f>
        <v>100</v>
      </c>
      <c r="K25" s="569"/>
      <c r="L25" s="2915"/>
      <c r="M25" s="2916"/>
      <c r="N25" s="2916"/>
      <c r="O25" s="2970"/>
      <c r="P25" s="3361"/>
      <c r="Q25" s="1496">
        <f t="shared" si="11"/>
        <v>111</v>
      </c>
      <c r="R25" s="709" t="s">
        <v>17</v>
      </c>
      <c r="S25" s="710">
        <f>F25</f>
        <v>100</v>
      </c>
      <c r="T25" s="709" t="s">
        <v>17</v>
      </c>
      <c r="U25" s="710">
        <f>H25</f>
        <v>100</v>
      </c>
      <c r="V25" s="709" t="s">
        <v>17</v>
      </c>
      <c r="W25" s="710">
        <f>J25</f>
        <v>100</v>
      </c>
      <c r="X25" s="711"/>
      <c r="Y25" s="3361"/>
      <c r="Z25" s="55">
        <f>Q25</f>
        <v>111</v>
      </c>
      <c r="AA25" s="1506">
        <f>D25/F25</f>
        <v>1</v>
      </c>
      <c r="AB25" s="1506">
        <f>D25/H25</f>
        <v>1</v>
      </c>
      <c r="AC25" s="1506">
        <f>D25/J25</f>
        <v>1</v>
      </c>
    </row>
    <row r="26" spans="1:29" ht="28.5">
      <c r="A26" s="424" t="s">
        <v>2324</v>
      </c>
      <c r="B26" s="67" t="s">
        <v>2475</v>
      </c>
      <c r="C26" s="2122"/>
      <c r="D26" s="425">
        <v>100</v>
      </c>
      <c r="E26" s="2122"/>
      <c r="F26" s="622">
        <f>SUMIF(77:77,E26,78:78)-SUMIF(77:77,C26,78:78)+100</f>
        <v>100</v>
      </c>
      <c r="G26" s="2122"/>
      <c r="H26" s="425">
        <f>SUMIF(77:77,G26,78:78)-SUMIF(77:77,C26,78:78)+100</f>
        <v>100</v>
      </c>
      <c r="I26" s="2122"/>
      <c r="J26" s="425">
        <f>SUMIF(77:77,I26,78:78)-SUMIF(77:77,C26,78:78)+100</f>
        <v>100</v>
      </c>
      <c r="K26" s="568"/>
      <c r="L26" s="2920"/>
      <c r="M26" s="2914"/>
      <c r="N26" s="2914"/>
      <c r="O26" s="2972"/>
      <c r="P26" s="3362" t="s">
        <v>2326</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363" t="s">
        <v>2326</v>
      </c>
      <c r="Z26" s="1509" t="str">
        <f t="shared" ref="Z26:Z34" si="15">Q26</f>
        <v>公共部分装修</v>
      </c>
      <c r="AA26" s="1506">
        <f t="shared" si="3"/>
        <v>1</v>
      </c>
      <c r="AB26" s="1506">
        <f t="shared" si="4"/>
        <v>1</v>
      </c>
      <c r="AC26" s="1506">
        <f t="shared" si="5"/>
        <v>1</v>
      </c>
    </row>
    <row r="27" spans="1:29" s="429" customFormat="1" ht="15">
      <c r="A27" s="426"/>
      <c r="B27" s="380" t="s">
        <v>2476</v>
      </c>
      <c r="C27" s="432"/>
      <c r="D27" s="132">
        <v>100</v>
      </c>
      <c r="E27" s="433"/>
      <c r="F27" s="419" t="e">
        <f>LOOKUP(E27,80:80,81:81)-LOOKUP(C27,80:80,81:81)+100</f>
        <v>#N/A</v>
      </c>
      <c r="G27" s="434"/>
      <c r="H27" s="393" t="e">
        <f>LOOKUP(G27,80:80,81:81)-LOOKUP(C27,80:80,81:81)+100</f>
        <v>#N/A</v>
      </c>
      <c r="I27" s="434"/>
      <c r="J27" s="393" t="e">
        <f>LOOKUP(I27,80:80,81:81)-LOOKUP(C27,80:80,81:81)+100</f>
        <v>#N/A</v>
      </c>
      <c r="K27" s="568"/>
      <c r="L27" s="2919"/>
      <c r="M27" s="2921"/>
      <c r="N27" s="2921"/>
      <c r="O27" s="2973"/>
      <c r="P27" s="3363"/>
      <c r="Q27" s="715" t="str">
        <f t="shared" si="11"/>
        <v>成新率</v>
      </c>
      <c r="R27" s="716" t="s">
        <v>17</v>
      </c>
      <c r="S27" s="717" t="e">
        <f t="shared" si="12"/>
        <v>#N/A</v>
      </c>
      <c r="T27" s="716" t="s">
        <v>17</v>
      </c>
      <c r="U27" s="717" t="e">
        <f t="shared" si="13"/>
        <v>#N/A</v>
      </c>
      <c r="V27" s="716" t="s">
        <v>17</v>
      </c>
      <c r="W27" s="717" t="e">
        <f t="shared" si="14"/>
        <v>#N/A</v>
      </c>
      <c r="X27" s="718"/>
      <c r="Y27" s="3363"/>
      <c r="Z27" s="719" t="str">
        <f t="shared" si="15"/>
        <v>成新率</v>
      </c>
      <c r="AA27" s="1506" t="e">
        <f t="shared" si="3"/>
        <v>#N/A</v>
      </c>
      <c r="AB27" s="1506" t="e">
        <f t="shared" si="4"/>
        <v>#N/A</v>
      </c>
      <c r="AC27" s="1506"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20"/>
      <c r="M28" s="2914"/>
      <c r="N28" s="2914"/>
      <c r="O28" s="2972"/>
      <c r="P28" s="3363"/>
      <c r="Q28" s="1505" t="str">
        <f t="shared" si="11"/>
        <v>物业等级</v>
      </c>
      <c r="R28" s="713" t="s">
        <v>17</v>
      </c>
      <c r="S28" s="714">
        <f t="shared" si="12"/>
        <v>100</v>
      </c>
      <c r="T28" s="713" t="s">
        <v>17</v>
      </c>
      <c r="U28" s="714">
        <f t="shared" si="13"/>
        <v>100</v>
      </c>
      <c r="V28" s="713" t="s">
        <v>17</v>
      </c>
      <c r="W28" s="714">
        <f t="shared" si="14"/>
        <v>100</v>
      </c>
      <c r="X28" s="1508"/>
      <c r="Y28" s="3363"/>
      <c r="Z28" s="1509" t="str">
        <f t="shared" si="15"/>
        <v>物业等级</v>
      </c>
      <c r="AA28" s="1506">
        <f t="shared" si="3"/>
        <v>1</v>
      </c>
      <c r="AB28" s="1506">
        <f t="shared" si="4"/>
        <v>1</v>
      </c>
      <c r="AC28" s="1506">
        <f t="shared" si="5"/>
        <v>1</v>
      </c>
    </row>
    <row r="29" spans="1:29" ht="15">
      <c r="A29" s="430"/>
      <c r="B29" s="380" t="s">
        <v>2497</v>
      </c>
      <c r="C29" s="612"/>
      <c r="D29" s="393">
        <v>100</v>
      </c>
      <c r="E29" s="612"/>
      <c r="F29" s="419">
        <f>SUMIF(84:84,E29,85:85)-SUMIF(84:84,C29,85:85)+100</f>
        <v>100</v>
      </c>
      <c r="G29" s="612"/>
      <c r="H29" s="393">
        <f>SUMIF(84:84,G29,85:85)-SUMIF(84:84,C29,85:85)+100</f>
        <v>100</v>
      </c>
      <c r="I29" s="612"/>
      <c r="J29" s="393">
        <f>SUMIF(84:84,I29,85:85)-SUMIF(84:84,C29,85:85)+100</f>
        <v>100</v>
      </c>
      <c r="K29" s="568"/>
      <c r="L29" s="2920"/>
      <c r="M29" s="2914"/>
      <c r="N29" s="2914"/>
      <c r="O29" s="2972"/>
      <c r="P29" s="3363"/>
      <c r="Q29" s="1505" t="str">
        <f t="shared" si="11"/>
        <v>有无电梯</v>
      </c>
      <c r="R29" s="713" t="s">
        <v>17</v>
      </c>
      <c r="S29" s="714">
        <f t="shared" si="12"/>
        <v>100</v>
      </c>
      <c r="T29" s="713" t="s">
        <v>17</v>
      </c>
      <c r="U29" s="714">
        <f t="shared" si="13"/>
        <v>100</v>
      </c>
      <c r="V29" s="713" t="s">
        <v>17</v>
      </c>
      <c r="W29" s="714">
        <f t="shared" si="14"/>
        <v>100</v>
      </c>
      <c r="X29" s="1508"/>
      <c r="Y29" s="3363"/>
      <c r="Z29" s="1509" t="str">
        <f t="shared" si="15"/>
        <v>有无电梯</v>
      </c>
      <c r="AA29" s="1506">
        <f t="shared" si="3"/>
        <v>1</v>
      </c>
      <c r="AB29" s="1506">
        <f t="shared" si="4"/>
        <v>1</v>
      </c>
      <c r="AC29" s="1506">
        <f t="shared" si="5"/>
        <v>1</v>
      </c>
    </row>
    <row r="30" spans="1:29" ht="15">
      <c r="A30" s="430"/>
      <c r="B30" s="380" t="s">
        <v>2498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20"/>
      <c r="M30" s="2914"/>
      <c r="N30" s="2914"/>
      <c r="O30" s="2972"/>
      <c r="P30" s="3363"/>
      <c r="Q30" s="1505" t="str">
        <f t="shared" si="11"/>
        <v>建筑面积</v>
      </c>
      <c r="R30" s="713" t="s">
        <v>17</v>
      </c>
      <c r="S30" s="714" t="e">
        <f t="shared" si="12"/>
        <v>#N/A</v>
      </c>
      <c r="T30" s="713" t="s">
        <v>17</v>
      </c>
      <c r="U30" s="714" t="e">
        <f t="shared" si="13"/>
        <v>#N/A</v>
      </c>
      <c r="V30" s="713" t="s">
        <v>17</v>
      </c>
      <c r="W30" s="714" t="e">
        <f t="shared" si="14"/>
        <v>#N/A</v>
      </c>
      <c r="X30" s="1508"/>
      <c r="Y30" s="3363"/>
      <c r="Z30" s="1509" t="str">
        <f t="shared" si="15"/>
        <v>建筑面积</v>
      </c>
      <c r="AA30" s="1506" t="e">
        <f t="shared" si="3"/>
        <v>#N/A</v>
      </c>
      <c r="AB30" s="1506" t="e">
        <f t="shared" si="4"/>
        <v>#N/A</v>
      </c>
      <c r="AC30" s="1506" t="e">
        <f t="shared" si="5"/>
        <v>#N/A</v>
      </c>
    </row>
    <row r="31" spans="1:29" s="113" customFormat="1" ht="15">
      <c r="A31" s="431"/>
      <c r="B31" s="380" t="s">
        <v>2499</v>
      </c>
      <c r="C31" s="612"/>
      <c r="D31" s="132">
        <v>100</v>
      </c>
      <c r="E31" s="612"/>
      <c r="F31" s="419">
        <f>SUMIF(89:89,E31,90:90)-SUMIF(89:89,C31,90:90)+100</f>
        <v>100</v>
      </c>
      <c r="G31" s="612"/>
      <c r="H31" s="393">
        <f>SUMIF(89:89,G31,90:90)-SUMIF(89:89,C31,90:90)+100</f>
        <v>100</v>
      </c>
      <c r="I31" s="612"/>
      <c r="J31" s="393">
        <f>SUMIF(89:89,I31,90:90)-SUMIF(89:89,C31,90:90)+100</f>
        <v>100</v>
      </c>
      <c r="K31" s="568"/>
      <c r="L31" s="2915"/>
      <c r="M31" s="2916"/>
      <c r="N31" s="2916"/>
      <c r="O31" s="2970"/>
      <c r="P31" s="3363"/>
      <c r="Q31" s="1496" t="str">
        <f t="shared" si="11"/>
        <v>是否封闭</v>
      </c>
      <c r="R31" s="709" t="s">
        <v>17</v>
      </c>
      <c r="S31" s="710">
        <f t="shared" si="12"/>
        <v>100</v>
      </c>
      <c r="T31" s="709" t="s">
        <v>17</v>
      </c>
      <c r="U31" s="710">
        <f t="shared" si="13"/>
        <v>100</v>
      </c>
      <c r="V31" s="709" t="s">
        <v>17</v>
      </c>
      <c r="W31" s="710">
        <f t="shared" si="14"/>
        <v>100</v>
      </c>
      <c r="X31" s="711"/>
      <c r="Y31" s="3363"/>
      <c r="Z31" s="55"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20"/>
      <c r="M32" s="2914"/>
      <c r="N32" s="2914"/>
      <c r="O32" s="2972"/>
      <c r="P32" s="3363" t="s">
        <v>2326</v>
      </c>
      <c r="Q32" s="1505">
        <f t="shared" si="11"/>
        <v>111</v>
      </c>
      <c r="R32" s="713" t="s">
        <v>17</v>
      </c>
      <c r="S32" s="714">
        <f t="shared" si="12"/>
        <v>100</v>
      </c>
      <c r="T32" s="713" t="s">
        <v>17</v>
      </c>
      <c r="U32" s="714">
        <f t="shared" si="13"/>
        <v>100</v>
      </c>
      <c r="V32" s="713" t="s">
        <v>17</v>
      </c>
      <c r="W32" s="714">
        <f t="shared" si="14"/>
        <v>100</v>
      </c>
      <c r="X32" s="1508"/>
      <c r="Y32" s="3363" t="s">
        <v>2326</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20"/>
      <c r="M33" s="2914"/>
      <c r="N33" s="2914"/>
      <c r="O33" s="2972"/>
      <c r="P33" s="3363"/>
      <c r="Q33" s="1505">
        <f t="shared" si="11"/>
        <v>111</v>
      </c>
      <c r="R33" s="713" t="s">
        <v>17</v>
      </c>
      <c r="S33" s="714">
        <f t="shared" si="12"/>
        <v>100</v>
      </c>
      <c r="T33" s="713" t="s">
        <v>17</v>
      </c>
      <c r="U33" s="714">
        <f t="shared" si="13"/>
        <v>100</v>
      </c>
      <c r="V33" s="713" t="s">
        <v>17</v>
      </c>
      <c r="W33" s="714">
        <f t="shared" si="14"/>
        <v>100</v>
      </c>
      <c r="X33" s="1508"/>
      <c r="Y33" s="3363"/>
      <c r="Z33" s="1509">
        <f t="shared" si="15"/>
        <v>111</v>
      </c>
      <c r="AA33" s="1506">
        <f t="shared" si="3"/>
        <v>1</v>
      </c>
      <c r="AB33" s="1506">
        <f t="shared" si="4"/>
        <v>1</v>
      </c>
      <c r="AC33" s="1506">
        <f t="shared" si="5"/>
        <v>1</v>
      </c>
    </row>
    <row r="34" spans="1:30" ht="15.75" thickBot="1">
      <c r="A34" s="436"/>
      <c r="B34" s="2050">
        <v>111</v>
      </c>
      <c r="C34" s="395"/>
      <c r="D34" s="396">
        <v>100</v>
      </c>
      <c r="E34" s="2130"/>
      <c r="F34" s="397">
        <f>SUMIF(95:95,E34,96:96)-SUMIF(95:95,C34,96:96)+100</f>
        <v>100</v>
      </c>
      <c r="G34" s="2130"/>
      <c r="H34" s="396">
        <f>SUMIF(95:95,G34,96:96)-SUMIF(95:95,C34,96:96)+100</f>
        <v>100</v>
      </c>
      <c r="I34" s="2130"/>
      <c r="J34" s="396">
        <f>SUMIF(95:95,I34,96:96)-SUMIF(95:95,C34,96:96)+100</f>
        <v>100</v>
      </c>
      <c r="K34" s="569"/>
      <c r="L34" s="2920"/>
      <c r="M34" s="2914"/>
      <c r="N34" s="2914"/>
      <c r="O34" s="2972"/>
      <c r="P34" s="3363"/>
      <c r="Q34" s="1505">
        <f t="shared" si="11"/>
        <v>111</v>
      </c>
      <c r="R34" s="713" t="s">
        <v>17</v>
      </c>
      <c r="S34" s="714">
        <f t="shared" si="12"/>
        <v>100</v>
      </c>
      <c r="T34" s="713" t="s">
        <v>17</v>
      </c>
      <c r="U34" s="714">
        <f t="shared" si="13"/>
        <v>100</v>
      </c>
      <c r="V34" s="713" t="s">
        <v>17</v>
      </c>
      <c r="W34" s="714">
        <f t="shared" si="14"/>
        <v>100</v>
      </c>
      <c r="X34" s="1508"/>
      <c r="Y34" s="3363"/>
      <c r="Z34" s="1509">
        <f t="shared" si="15"/>
        <v>111</v>
      </c>
      <c r="AA34" s="1506">
        <f t="shared" si="3"/>
        <v>1</v>
      </c>
      <c r="AB34" s="1506">
        <f t="shared" si="4"/>
        <v>1</v>
      </c>
      <c r="AC34" s="1506">
        <f t="shared" si="5"/>
        <v>1</v>
      </c>
    </row>
    <row r="35" spans="1:30" ht="15">
      <c r="A35" s="437" t="s">
        <v>2338</v>
      </c>
      <c r="B35" s="438"/>
      <c r="C35" s="1287" t="s">
        <v>1</v>
      </c>
      <c r="D35" s="1288"/>
      <c r="E35" s="1289"/>
      <c r="F35" s="1290"/>
      <c r="G35" s="1291"/>
      <c r="H35" s="1292"/>
      <c r="I35" s="1289"/>
      <c r="J35" s="1292"/>
      <c r="K35" s="722"/>
      <c r="L35" s="2922"/>
      <c r="M35" s="2923"/>
      <c r="N35" s="2914"/>
      <c r="O35" s="2923"/>
      <c r="P35" s="3355" t="str">
        <f>A35</f>
        <v>成交单价（元/平方米）</v>
      </c>
      <c r="Q35" s="3355"/>
      <c r="R35" s="3356">
        <f>E35</f>
        <v>0</v>
      </c>
      <c r="S35" s="3356"/>
      <c r="T35" s="3356">
        <f>G35</f>
        <v>0</v>
      </c>
      <c r="U35" s="3356"/>
      <c r="V35" s="3356">
        <f>I35</f>
        <v>0</v>
      </c>
      <c r="W35" s="3356"/>
      <c r="X35" s="698"/>
      <c r="Y35" s="720"/>
      <c r="Z35" s="698"/>
      <c r="AA35" s="698"/>
      <c r="AB35" s="698"/>
      <c r="AC35" s="698"/>
    </row>
    <row r="36" spans="1:30" ht="15.75" thickBot="1">
      <c r="A36" s="444" t="s">
        <v>2430</v>
      </c>
      <c r="B36" s="445"/>
      <c r="C36" s="1293" t="e">
        <f>R37</f>
        <v>#DIV/0!</v>
      </c>
      <c r="D36" s="2507" t="s">
        <v>2818</v>
      </c>
      <c r="E36" s="1294" t="e">
        <f>R36</f>
        <v>#DIV/0!</v>
      </c>
      <c r="F36" s="2508"/>
      <c r="G36" s="1293" t="e">
        <f>T36</f>
        <v>#DIV/0!</v>
      </c>
      <c r="H36" s="2508"/>
      <c r="I36" s="1294" t="e">
        <f>V36</f>
        <v>#DIV/0!</v>
      </c>
      <c r="J36" s="2508"/>
      <c r="K36" s="2510">
        <f>F36+H36+J36</f>
        <v>0</v>
      </c>
      <c r="L36" s="2922"/>
      <c r="M36" s="2923"/>
      <c r="N36" s="2914"/>
      <c r="O36" s="2923"/>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2"/>
      <c r="M37" s="2923"/>
      <c r="N37" s="2923"/>
      <c r="O37" s="2923"/>
      <c r="P37" s="3357" t="str">
        <f>A37</f>
        <v>估价对象XX用房的比较价值（楼面单价，元/平方米）</v>
      </c>
      <c r="Q37" s="3358"/>
      <c r="R37" s="3359" t="e">
        <f>IF(F1="售价",ROUND(IF(D36="简单平均",AVERAGE(R36:W36),R36*F36+T36*H36+V36*J36),0),ROUND(IF(D36="简单平均",AVERAGE(R36:V36),R36*F36+T36*H36+V36*J36),1))</f>
        <v>#DIV/0!</v>
      </c>
      <c r="S37" s="3359"/>
      <c r="T37" s="3359"/>
      <c r="U37" s="3359"/>
      <c r="V37" s="3359"/>
      <c r="W37" s="3359"/>
      <c r="X37" s="698"/>
      <c r="Y37" s="698"/>
      <c r="Z37" s="698"/>
      <c r="AA37" s="698"/>
      <c r="AB37" s="698"/>
      <c r="AC37" s="698"/>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8" customFormat="1" ht="13.5" customHeight="1">
      <c r="A42" s="2926"/>
      <c r="B42" s="2926"/>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8"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2" t="s">
        <v>2435</v>
      </c>
      <c r="B45" s="698"/>
      <c r="C45" s="703"/>
      <c r="D45" s="703"/>
      <c r="E45" s="703"/>
      <c r="F45" s="704"/>
      <c r="G45" s="704"/>
      <c r="H45" s="703"/>
      <c r="I45" s="703"/>
      <c r="J45" s="703"/>
      <c r="K45" s="705"/>
      <c r="L45" s="706"/>
      <c r="M45" s="703"/>
      <c r="N45" s="2967"/>
      <c r="O45" s="2967"/>
      <c r="P45" s="2967"/>
      <c r="Q45" s="2937"/>
      <c r="R45" s="2923"/>
      <c r="S45" s="2923"/>
      <c r="T45" s="2923"/>
      <c r="U45" s="2923"/>
      <c r="V45" s="2923"/>
      <c r="W45" s="2923"/>
      <c r="X45" s="2923"/>
      <c r="Y45" s="2923"/>
      <c r="Z45" s="2923"/>
      <c r="AA45" s="2923"/>
      <c r="AB45" s="2923"/>
      <c r="AC45" s="2923"/>
      <c r="AD45" s="2923"/>
    </row>
    <row r="46" spans="1:30" s="464" customFormat="1" ht="15">
      <c r="A46" s="461" t="s">
        <v>2309</v>
      </c>
      <c r="B46" s="462"/>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5"/>
      <c r="B47" s="466"/>
      <c r="C47" s="1316">
        <v>100</v>
      </c>
      <c r="D47" s="468"/>
      <c r="E47" s="468"/>
      <c r="F47" s="468"/>
      <c r="G47" s="468"/>
      <c r="H47" s="468"/>
      <c r="I47" s="468"/>
      <c r="J47" s="468"/>
      <c r="K47" s="468"/>
      <c r="L47" s="468"/>
      <c r="M47" s="469"/>
      <c r="N47" s="468"/>
      <c r="O47" s="470"/>
      <c r="P47" s="2937"/>
      <c r="Q47" s="2857"/>
      <c r="R47" s="2857"/>
      <c r="S47" s="2857"/>
      <c r="T47" s="2857"/>
      <c r="U47" s="2857"/>
      <c r="V47" s="2857"/>
      <c r="W47" s="2857"/>
      <c r="X47" s="2857"/>
      <c r="Y47" s="2857"/>
      <c r="Z47" s="2857"/>
      <c r="AA47" s="2857"/>
      <c r="AB47" s="2857"/>
      <c r="AC47" s="2857"/>
      <c r="AD47" s="2857"/>
    </row>
    <row r="48" spans="1:30" s="113" customFormat="1" ht="15.75" thickBot="1">
      <c r="A48" s="471" t="s">
        <v>2346</v>
      </c>
      <c r="B48" s="472"/>
      <c r="C48" s="473"/>
      <c r="D48" s="474"/>
      <c r="E48" s="474"/>
      <c r="F48" s="474"/>
      <c r="G48" s="474"/>
      <c r="H48" s="474"/>
      <c r="I48" s="474"/>
      <c r="J48" s="474"/>
      <c r="K48" s="474"/>
      <c r="L48" s="474"/>
      <c r="M48" s="475"/>
      <c r="N48" s="474"/>
      <c r="O48" s="476"/>
      <c r="P48" s="2937"/>
      <c r="Q48" s="2937"/>
      <c r="R48" s="2857"/>
      <c r="S48" s="2857"/>
      <c r="T48" s="2857"/>
      <c r="U48" s="2857"/>
      <c r="V48" s="2857"/>
      <c r="W48" s="2857"/>
      <c r="X48" s="2857"/>
      <c r="Y48" s="2857"/>
      <c r="Z48" s="2857"/>
      <c r="AA48" s="2857"/>
      <c r="AB48" s="2857"/>
      <c r="AC48" s="2857"/>
      <c r="AD48" s="2857"/>
    </row>
    <row r="49" spans="1:30" s="113" customFormat="1" ht="15">
      <c r="A49" s="477" t="s">
        <v>2311</v>
      </c>
      <c r="B49" s="466"/>
      <c r="C49" s="478" t="s">
        <v>2413</v>
      </c>
      <c r="D49" s="479"/>
      <c r="E49" s="479"/>
      <c r="F49" s="479"/>
      <c r="G49" s="479"/>
      <c r="H49" s="479"/>
      <c r="I49" s="479"/>
      <c r="J49" s="479"/>
      <c r="K49" s="479"/>
      <c r="L49" s="480"/>
      <c r="M49" s="481"/>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7"/>
      <c r="B50" s="466"/>
      <c r="C50" s="594">
        <v>100</v>
      </c>
      <c r="D50" s="468"/>
      <c r="E50" s="468"/>
      <c r="F50" s="468"/>
      <c r="G50" s="468"/>
      <c r="H50" s="468"/>
      <c r="I50" s="468"/>
      <c r="J50" s="468"/>
      <c r="K50" s="468"/>
      <c r="L50" s="468"/>
      <c r="M50" s="470"/>
      <c r="N50" s="2950"/>
      <c r="O50" s="2950"/>
      <c r="P50" s="2937"/>
      <c r="Q50" s="2937"/>
      <c r="R50" s="2857"/>
      <c r="S50" s="2857"/>
      <c r="T50" s="2857"/>
      <c r="U50" s="2857"/>
      <c r="V50" s="2857"/>
      <c r="W50" s="2857"/>
      <c r="X50" s="2857"/>
      <c r="Y50" s="2857"/>
      <c r="Z50" s="2857"/>
      <c r="AA50" s="2857"/>
      <c r="AB50" s="2857"/>
      <c r="AC50" s="2857"/>
      <c r="AD50" s="2857"/>
    </row>
    <row r="51" spans="1:30">
      <c r="A51" s="483" t="s">
        <v>2349</v>
      </c>
      <c r="B51" s="484" t="s">
        <v>2315</v>
      </c>
      <c r="C51" s="485">
        <f>C9</f>
        <v>0</v>
      </c>
      <c r="D51" s="486"/>
      <c r="E51" s="486"/>
      <c r="F51" s="486"/>
      <c r="G51" s="486"/>
      <c r="H51" s="486"/>
      <c r="I51" s="486"/>
      <c r="J51" s="486"/>
      <c r="K51" s="487"/>
      <c r="L51" s="488"/>
      <c r="M51" s="489"/>
      <c r="N51" s="2951"/>
      <c r="O51" s="2951"/>
      <c r="P51" s="2976"/>
      <c r="Q51" s="2937"/>
      <c r="R51" s="2923"/>
      <c r="S51" s="2923"/>
      <c r="T51" s="2923"/>
      <c r="U51" s="2923"/>
      <c r="V51" s="2923"/>
      <c r="W51" s="2923"/>
      <c r="X51" s="2923"/>
      <c r="Y51" s="2923"/>
      <c r="Z51" s="2923"/>
      <c r="AA51" s="2923"/>
      <c r="AB51" s="2923"/>
      <c r="AC51" s="2923"/>
      <c r="AD51" s="2923"/>
    </row>
    <row r="52" spans="1:30" ht="15.75" thickBot="1">
      <c r="A52" s="490"/>
      <c r="B52" s="491"/>
      <c r="C52" s="492">
        <v>100</v>
      </c>
      <c r="D52" s="492"/>
      <c r="E52" s="492"/>
      <c r="F52" s="492"/>
      <c r="G52" s="492"/>
      <c r="H52" s="492"/>
      <c r="I52" s="492"/>
      <c r="J52" s="492"/>
      <c r="K52" s="492"/>
      <c r="L52" s="492"/>
      <c r="M52" s="493"/>
      <c r="N52" s="2952"/>
      <c r="O52" s="2952"/>
      <c r="P52" s="2976"/>
      <c r="Q52" s="2937"/>
      <c r="R52" s="2923"/>
      <c r="S52" s="2923"/>
      <c r="T52" s="2923"/>
      <c r="U52" s="2923"/>
      <c r="V52" s="2923"/>
      <c r="W52" s="2923"/>
      <c r="X52" s="2923"/>
      <c r="Y52" s="2923"/>
      <c r="Z52" s="2923"/>
      <c r="AA52" s="2923"/>
      <c r="AB52" s="2923"/>
      <c r="AC52" s="2923"/>
      <c r="AD52" s="2923"/>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1"/>
      <c r="O53" s="2951"/>
      <c r="P53" s="2976"/>
      <c r="Q53" s="2937"/>
      <c r="R53" s="2923"/>
      <c r="S53" s="2923"/>
      <c r="T53" s="2923"/>
      <c r="U53" s="2923"/>
      <c r="V53" s="2923"/>
      <c r="W53" s="2923"/>
      <c r="X53" s="2923"/>
      <c r="Y53" s="2923"/>
      <c r="Z53" s="2923"/>
      <c r="AA53" s="2923"/>
      <c r="AB53" s="2923"/>
      <c r="AC53" s="2923"/>
      <c r="AD53" s="2923"/>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2"/>
      <c r="O54" s="2952"/>
      <c r="P54" s="2976"/>
      <c r="Q54" s="2937"/>
      <c r="R54" s="2923"/>
      <c r="S54" s="2923"/>
      <c r="T54" s="2923"/>
      <c r="U54" s="2923"/>
      <c r="V54" s="2923"/>
      <c r="W54" s="2923"/>
      <c r="X54" s="2923"/>
      <c r="Y54" s="2923"/>
      <c r="Z54" s="2923"/>
      <c r="AA54" s="2923"/>
      <c r="AB54" s="2923"/>
      <c r="AC54" s="2923"/>
      <c r="AD54" s="2923"/>
    </row>
    <row r="55" spans="1:30" ht="15.75" thickTop="1">
      <c r="A55" s="490"/>
      <c r="B55" s="615">
        <f>B11</f>
        <v>111</v>
      </c>
      <c r="C55" s="505"/>
      <c r="D55" s="505"/>
      <c r="E55" s="505"/>
      <c r="F55" s="505"/>
      <c r="G55" s="505"/>
      <c r="H55" s="505"/>
      <c r="I55" s="505"/>
      <c r="J55" s="505"/>
      <c r="K55" s="506"/>
      <c r="L55" s="507"/>
      <c r="M55" s="508"/>
      <c r="N55" s="2951"/>
      <c r="O55" s="2951"/>
      <c r="P55" s="2976"/>
      <c r="Q55" s="2937"/>
      <c r="R55" s="2923"/>
      <c r="S55" s="2923"/>
      <c r="T55" s="2923"/>
      <c r="U55" s="2923"/>
      <c r="V55" s="2923"/>
      <c r="W55" s="2923"/>
      <c r="X55" s="2923"/>
      <c r="Y55" s="2923"/>
      <c r="Z55" s="2923"/>
      <c r="AA55" s="2923"/>
      <c r="AB55" s="2923"/>
      <c r="AC55" s="2923"/>
      <c r="AD55" s="2923"/>
    </row>
    <row r="56" spans="1:30" ht="15.75" thickBot="1">
      <c r="A56" s="490"/>
      <c r="B56" s="491"/>
      <c r="C56" s="516"/>
      <c r="D56" s="492"/>
      <c r="E56" s="492"/>
      <c r="F56" s="492"/>
      <c r="G56" s="492"/>
      <c r="H56" s="492"/>
      <c r="I56" s="492"/>
      <c r="J56" s="492"/>
      <c r="K56" s="492"/>
      <c r="L56" s="492"/>
      <c r="M56" s="493"/>
      <c r="N56" s="2952"/>
      <c r="O56" s="2952"/>
      <c r="P56" s="2976"/>
      <c r="Q56" s="2937"/>
      <c r="R56" s="2923"/>
      <c r="S56" s="2923"/>
      <c r="T56" s="2923"/>
      <c r="U56" s="2923"/>
      <c r="V56" s="2923"/>
      <c r="W56" s="2923"/>
      <c r="X56" s="2923"/>
      <c r="Y56" s="2923"/>
      <c r="Z56" s="2923"/>
      <c r="AA56" s="2923"/>
      <c r="AB56" s="2923"/>
      <c r="AC56" s="2923"/>
      <c r="AD56" s="2923"/>
    </row>
    <row r="57" spans="1:30" s="429" customFormat="1" ht="15.75" thickTop="1">
      <c r="A57" s="509"/>
      <c r="B57" s="494">
        <f>B12</f>
        <v>111</v>
      </c>
      <c r="C57" s="505"/>
      <c r="D57" s="505"/>
      <c r="E57" s="505"/>
      <c r="F57" s="505"/>
      <c r="G57" s="510"/>
      <c r="H57" s="511"/>
      <c r="I57" s="511"/>
      <c r="J57" s="511"/>
      <c r="K57" s="511"/>
      <c r="L57" s="512"/>
      <c r="M57" s="513"/>
      <c r="N57" s="2953"/>
      <c r="O57" s="2953"/>
      <c r="P57" s="2977"/>
      <c r="Q57" s="2944"/>
      <c r="R57" s="2945"/>
      <c r="S57" s="2945"/>
      <c r="T57" s="2945"/>
      <c r="U57" s="2945"/>
      <c r="V57" s="2945"/>
      <c r="W57" s="2945"/>
      <c r="X57" s="2945"/>
      <c r="Y57" s="2945"/>
      <c r="Z57" s="2945"/>
      <c r="AA57" s="2945"/>
      <c r="AB57" s="2945"/>
      <c r="AC57" s="2945"/>
      <c r="AD57" s="2945"/>
    </row>
    <row r="58" spans="1:30" s="429" customFormat="1" ht="15.75" thickBot="1">
      <c r="A58" s="509"/>
      <c r="B58" s="499"/>
      <c r="C58" s="516"/>
      <c r="D58" s="492"/>
      <c r="E58" s="492"/>
      <c r="F58" s="492"/>
      <c r="G58" s="492"/>
      <c r="H58" s="492"/>
      <c r="I58" s="492"/>
      <c r="J58" s="492"/>
      <c r="K58" s="492"/>
      <c r="L58" s="492"/>
      <c r="M58" s="493"/>
      <c r="N58" s="2952"/>
      <c r="O58" s="2952"/>
      <c r="P58" s="2977"/>
      <c r="Q58" s="2944"/>
      <c r="R58" s="2945"/>
      <c r="S58" s="2945"/>
      <c r="T58" s="2945"/>
      <c r="U58" s="2945"/>
      <c r="V58" s="2945"/>
      <c r="W58" s="2945"/>
      <c r="X58" s="2945"/>
      <c r="Y58" s="2945"/>
      <c r="Z58" s="2945"/>
      <c r="AA58" s="2945"/>
      <c r="AB58" s="2945"/>
      <c r="AC58" s="2945"/>
      <c r="AD58" s="2945"/>
    </row>
    <row r="59" spans="1:30" s="429" customFormat="1" ht="15.75" thickTop="1">
      <c r="A59" s="509"/>
      <c r="B59" s="494">
        <f>B13</f>
        <v>111</v>
      </c>
      <c r="C59" s="505"/>
      <c r="D59" s="505"/>
      <c r="E59" s="505"/>
      <c r="F59" s="505"/>
      <c r="G59" s="510"/>
      <c r="H59" s="511"/>
      <c r="I59" s="511"/>
      <c r="J59" s="511"/>
      <c r="K59" s="511"/>
      <c r="L59" s="512"/>
      <c r="M59" s="513"/>
      <c r="N59" s="2953"/>
      <c r="O59" s="2953"/>
      <c r="P59" s="2921"/>
      <c r="Q59" s="2947"/>
      <c r="R59" s="2945"/>
      <c r="S59" s="2945"/>
      <c r="T59" s="2945"/>
      <c r="U59" s="2945"/>
      <c r="V59" s="2945"/>
      <c r="W59" s="2945"/>
      <c r="X59" s="2945"/>
      <c r="Y59" s="2945"/>
      <c r="Z59" s="2945"/>
      <c r="AA59" s="2945"/>
      <c r="AB59" s="2945"/>
      <c r="AC59" s="2945"/>
      <c r="AD59" s="2945"/>
    </row>
    <row r="60" spans="1:30" s="429" customFormat="1" ht="15.75" thickBot="1">
      <c r="A60" s="509"/>
      <c r="B60" s="499"/>
      <c r="C60" s="516"/>
      <c r="D60" s="516"/>
      <c r="E60" s="516"/>
      <c r="F60" s="516"/>
      <c r="G60" s="516"/>
      <c r="H60" s="518"/>
      <c r="I60" s="518"/>
      <c r="J60" s="518"/>
      <c r="K60" s="518"/>
      <c r="L60" s="518"/>
      <c r="M60" s="519"/>
      <c r="N60" s="2953"/>
      <c r="O60" s="2953"/>
      <c r="P60" s="2977"/>
      <c r="Q60" s="2944"/>
      <c r="R60" s="2945"/>
      <c r="S60" s="2945"/>
      <c r="T60" s="2945"/>
      <c r="U60" s="2945"/>
      <c r="V60" s="2945"/>
      <c r="W60" s="2945"/>
      <c r="X60" s="2945"/>
      <c r="Y60" s="2945"/>
      <c r="Z60" s="2945"/>
      <c r="AA60" s="2945"/>
      <c r="AB60" s="2945"/>
      <c r="AC60" s="2945"/>
      <c r="AD60" s="2945"/>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1"/>
      <c r="O61" s="2951"/>
      <c r="P61" s="2978"/>
      <c r="Q61" s="2937"/>
      <c r="R61" s="2923"/>
      <c r="S61" s="2923"/>
      <c r="T61" s="2923"/>
      <c r="U61" s="2923"/>
      <c r="V61" s="2923"/>
      <c r="W61" s="2923"/>
      <c r="X61" s="2923"/>
      <c r="Y61" s="2923"/>
      <c r="Z61" s="2923"/>
      <c r="AA61" s="2923"/>
      <c r="AB61" s="2923"/>
      <c r="AC61" s="2923"/>
      <c r="AD61" s="2923"/>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2"/>
      <c r="O62" s="2952"/>
      <c r="P62" s="2976"/>
      <c r="Q62" s="2937"/>
      <c r="R62" s="2923"/>
      <c r="S62" s="2923"/>
      <c r="T62" s="2923"/>
      <c r="U62" s="2923"/>
      <c r="V62" s="2923"/>
      <c r="W62" s="2923"/>
      <c r="X62" s="2923"/>
      <c r="Y62" s="2923"/>
      <c r="Z62" s="2923"/>
      <c r="AA62" s="2923"/>
      <c r="AB62" s="2923"/>
      <c r="AC62" s="2923"/>
      <c r="AD62" s="2923"/>
    </row>
    <row r="63" spans="1:30" ht="27.75" thickTop="1">
      <c r="A63" s="490"/>
      <c r="B63" s="494" t="s">
        <v>2500</v>
      </c>
      <c r="C63" s="534" t="s">
        <v>2358</v>
      </c>
      <c r="D63" s="534" t="s">
        <v>2359</v>
      </c>
      <c r="E63" s="534" t="s">
        <v>2360</v>
      </c>
      <c r="F63" s="534" t="s">
        <v>2361</v>
      </c>
      <c r="G63" s="534" t="s">
        <v>2362</v>
      </c>
      <c r="H63" s="495"/>
      <c r="I63" s="495"/>
      <c r="J63" s="495"/>
      <c r="K63" s="496"/>
      <c r="L63" s="497"/>
      <c r="M63" s="498"/>
      <c r="N63" s="2951"/>
      <c r="O63" s="2951"/>
      <c r="P63" s="2976"/>
      <c r="Q63" s="2937"/>
      <c r="R63" s="2923"/>
      <c r="S63" s="2923"/>
      <c r="T63" s="2923"/>
      <c r="U63" s="2923"/>
      <c r="V63" s="2923"/>
      <c r="W63" s="2923"/>
      <c r="X63" s="2923"/>
      <c r="Y63" s="2923"/>
      <c r="Z63" s="2923"/>
      <c r="AA63" s="2923"/>
      <c r="AB63" s="2923"/>
      <c r="AC63" s="2923"/>
      <c r="AD63" s="2923"/>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2"/>
      <c r="O64" s="2952"/>
      <c r="P64" s="2976"/>
      <c r="Q64" s="2937"/>
      <c r="R64" s="2923"/>
      <c r="S64" s="2923"/>
      <c r="T64" s="2923"/>
      <c r="U64" s="2923"/>
      <c r="V64" s="2923"/>
      <c r="W64" s="2923"/>
      <c r="X64" s="2923"/>
      <c r="Y64" s="2923"/>
      <c r="Z64" s="2923"/>
      <c r="AA64" s="2923"/>
      <c r="AB64" s="2923"/>
      <c r="AC64" s="2923"/>
      <c r="AD64" s="2923"/>
    </row>
    <row r="65" spans="1:30" ht="15.75" thickTop="1">
      <c r="A65" s="490"/>
      <c r="B65" s="502" t="s">
        <v>2450</v>
      </c>
      <c r="C65" s="615" t="s">
        <v>2436</v>
      </c>
      <c r="D65" s="615" t="s">
        <v>2437</v>
      </c>
      <c r="E65" s="615" t="s">
        <v>2438</v>
      </c>
      <c r="F65" s="615" t="s">
        <v>2439</v>
      </c>
      <c r="G65" s="615" t="s">
        <v>2440</v>
      </c>
      <c r="H65" s="495"/>
      <c r="I65" s="495"/>
      <c r="J65" s="495"/>
      <c r="K65" s="495"/>
      <c r="L65" s="495"/>
      <c r="M65" s="1262"/>
      <c r="N65" s="2952"/>
      <c r="O65" s="2952"/>
      <c r="P65" s="2976"/>
      <c r="Q65" s="2937"/>
      <c r="R65" s="2923"/>
      <c r="S65" s="2923"/>
      <c r="T65" s="2923"/>
      <c r="U65" s="2923"/>
      <c r="V65" s="2923"/>
      <c r="W65" s="2923"/>
      <c r="X65" s="2923"/>
      <c r="Y65" s="2923"/>
      <c r="Z65" s="2923"/>
      <c r="AA65" s="2923"/>
      <c r="AB65" s="2923"/>
      <c r="AC65" s="2923"/>
      <c r="AD65" s="2923"/>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2"/>
      <c r="O66" s="2952"/>
      <c r="P66" s="2976"/>
      <c r="Q66" s="2937"/>
      <c r="R66" s="2923"/>
      <c r="S66" s="2923"/>
      <c r="T66" s="2923"/>
      <c r="U66" s="2923"/>
      <c r="V66" s="2923"/>
      <c r="W66" s="2923"/>
      <c r="X66" s="2923"/>
      <c r="Y66" s="2923"/>
      <c r="Z66" s="2923"/>
      <c r="AA66" s="2923"/>
      <c r="AB66" s="2923"/>
      <c r="AC66" s="2923"/>
      <c r="AD66" s="2923"/>
    </row>
    <row r="67" spans="1:30" ht="15.75" thickTop="1">
      <c r="A67" s="490"/>
      <c r="B67" s="494" t="s">
        <v>2370</v>
      </c>
      <c r="C67" s="534" t="s">
        <v>2358</v>
      </c>
      <c r="D67" s="534" t="s">
        <v>2359</v>
      </c>
      <c r="E67" s="534" t="s">
        <v>2360</v>
      </c>
      <c r="F67" s="534" t="s">
        <v>2361</v>
      </c>
      <c r="G67" s="534" t="s">
        <v>2362</v>
      </c>
      <c r="H67" s="495"/>
      <c r="I67" s="495"/>
      <c r="J67" s="495"/>
      <c r="K67" s="496"/>
      <c r="L67" s="497"/>
      <c r="M67" s="498"/>
      <c r="N67" s="2951"/>
      <c r="O67" s="2951"/>
      <c r="P67" s="2976"/>
      <c r="Q67" s="2937"/>
      <c r="R67" s="2923"/>
      <c r="S67" s="2923"/>
      <c r="T67" s="2923"/>
      <c r="U67" s="2923"/>
      <c r="V67" s="2923"/>
      <c r="W67" s="2923"/>
      <c r="X67" s="2923"/>
      <c r="Y67" s="2923"/>
      <c r="Z67" s="2923"/>
      <c r="AA67" s="2923"/>
      <c r="AB67" s="2923"/>
      <c r="AC67" s="2923"/>
      <c r="AD67" s="2923"/>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2"/>
      <c r="O68" s="2952"/>
      <c r="P68" s="2976"/>
      <c r="Q68" s="2937"/>
      <c r="R68" s="2923"/>
      <c r="S68" s="2923"/>
      <c r="T68" s="2923"/>
      <c r="U68" s="2923"/>
      <c r="V68" s="2923"/>
      <c r="W68" s="2923"/>
      <c r="X68" s="2923"/>
      <c r="Y68" s="2923"/>
      <c r="Z68" s="2923"/>
      <c r="AA68" s="2923"/>
      <c r="AB68" s="2923"/>
      <c r="AC68" s="2923"/>
      <c r="AD68" s="2923"/>
    </row>
    <row r="69" spans="1:30" ht="15.75" thickTop="1">
      <c r="A69" s="490"/>
      <c r="B69" s="494" t="s">
        <v>2489</v>
      </c>
      <c r="C69" s="510"/>
      <c r="D69" s="510"/>
      <c r="E69" s="510"/>
      <c r="F69" s="510"/>
      <c r="G69" s="510"/>
      <c r="H69" s="539"/>
      <c r="I69" s="539"/>
      <c r="J69" s="539"/>
      <c r="K69" s="540"/>
      <c r="L69" s="541"/>
      <c r="M69" s="542"/>
      <c r="N69" s="2951"/>
      <c r="O69" s="2951"/>
      <c r="P69" s="2976"/>
      <c r="Q69" s="2937"/>
      <c r="R69" s="2923"/>
      <c r="S69" s="2923"/>
      <c r="T69" s="2923"/>
      <c r="U69" s="2923"/>
      <c r="V69" s="2923"/>
      <c r="W69" s="2923"/>
      <c r="X69" s="2923"/>
      <c r="Y69" s="2923"/>
      <c r="Z69" s="2923"/>
      <c r="AA69" s="2923"/>
      <c r="AB69" s="2923"/>
      <c r="AC69" s="2923"/>
      <c r="AD69" s="2923"/>
    </row>
    <row r="70" spans="1:30" ht="15.75" thickBot="1">
      <c r="A70" s="490"/>
      <c r="B70" s="499"/>
      <c r="C70" s="500">
        <v>100</v>
      </c>
      <c r="D70" s="500">
        <f>C70-$K22</f>
        <v>100</v>
      </c>
      <c r="E70" s="500"/>
      <c r="F70" s="500"/>
      <c r="G70" s="500"/>
      <c r="H70" s="500"/>
      <c r="I70" s="500"/>
      <c r="J70" s="500"/>
      <c r="K70" s="500"/>
      <c r="L70" s="500"/>
      <c r="M70" s="501"/>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5"/>
      <c r="B71" s="494">
        <f>B23</f>
        <v>111</v>
      </c>
      <c r="C71" s="505"/>
      <c r="D71" s="505"/>
      <c r="E71" s="505"/>
      <c r="F71" s="505"/>
      <c r="G71" s="510"/>
      <c r="H71" s="510"/>
      <c r="I71" s="510"/>
      <c r="J71" s="510"/>
      <c r="K71" s="510"/>
      <c r="L71" s="536"/>
      <c r="M71" s="537"/>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5"/>
      <c r="B72" s="499"/>
      <c r="C72" s="516"/>
      <c r="D72" s="492"/>
      <c r="E72" s="492"/>
      <c r="F72" s="492"/>
      <c r="G72" s="492"/>
      <c r="H72" s="492"/>
      <c r="I72" s="492"/>
      <c r="J72" s="492"/>
      <c r="K72" s="492"/>
      <c r="L72" s="492"/>
      <c r="M72" s="493"/>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5"/>
      <c r="B73" s="494">
        <f>B24</f>
        <v>111</v>
      </c>
      <c r="C73" s="505"/>
      <c r="D73" s="505"/>
      <c r="E73" s="505"/>
      <c r="F73" s="505"/>
      <c r="G73" s="510"/>
      <c r="H73" s="510"/>
      <c r="I73" s="510"/>
      <c r="J73" s="510"/>
      <c r="K73" s="510"/>
      <c r="L73" s="510"/>
      <c r="M73" s="537"/>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5"/>
      <c r="B74" s="499"/>
      <c r="C74" s="516"/>
      <c r="D74" s="492"/>
      <c r="E74" s="492"/>
      <c r="F74" s="492"/>
      <c r="G74" s="492"/>
      <c r="H74" s="492"/>
      <c r="I74" s="492"/>
      <c r="J74" s="492"/>
      <c r="K74" s="492"/>
      <c r="L74" s="492"/>
      <c r="M74" s="493"/>
      <c r="N74" s="2952"/>
      <c r="O74" s="2952"/>
      <c r="P74" s="2976"/>
      <c r="Q74" s="2937"/>
      <c r="R74" s="2857"/>
      <c r="S74" s="2857"/>
      <c r="T74" s="2857"/>
      <c r="U74" s="2857"/>
      <c r="V74" s="2857"/>
      <c r="W74" s="2857"/>
      <c r="X74" s="2857"/>
      <c r="Y74" s="2857"/>
      <c r="Z74" s="2857"/>
      <c r="AA74" s="2857"/>
      <c r="AB74" s="2857"/>
      <c r="AC74" s="2857"/>
      <c r="AD74" s="2857"/>
    </row>
    <row r="75" spans="1:30" s="429" customFormat="1" ht="15.75" thickTop="1">
      <c r="A75" s="509"/>
      <c r="B75" s="494">
        <f>B25</f>
        <v>111</v>
      </c>
      <c r="C75" s="505"/>
      <c r="D75" s="505"/>
      <c r="E75" s="505"/>
      <c r="F75" s="505"/>
      <c r="G75" s="510"/>
      <c r="H75" s="511"/>
      <c r="I75" s="511"/>
      <c r="J75" s="511"/>
      <c r="K75" s="511"/>
      <c r="L75" s="512"/>
      <c r="M75" s="513"/>
      <c r="N75" s="2953"/>
      <c r="O75" s="2953"/>
      <c r="P75" s="2977"/>
      <c r="Q75" s="2944"/>
      <c r="R75" s="2945"/>
      <c r="S75" s="2945"/>
      <c r="T75" s="2945"/>
      <c r="U75" s="2945"/>
      <c r="V75" s="2945"/>
      <c r="W75" s="2945"/>
      <c r="X75" s="2945"/>
      <c r="Y75" s="2945"/>
      <c r="Z75" s="2945"/>
      <c r="AA75" s="2945"/>
      <c r="AB75" s="2945"/>
      <c r="AC75" s="2945"/>
      <c r="AD75" s="2945"/>
    </row>
    <row r="76" spans="1:30" s="429" customFormat="1" ht="15.75" thickBot="1">
      <c r="A76" s="509"/>
      <c r="B76" s="499"/>
      <c r="C76" s="516"/>
      <c r="D76" s="516"/>
      <c r="E76" s="516"/>
      <c r="F76" s="516"/>
      <c r="G76" s="492"/>
      <c r="H76" s="492"/>
      <c r="I76" s="492"/>
      <c r="J76" s="492"/>
      <c r="K76" s="492"/>
      <c r="L76" s="492"/>
      <c r="M76" s="493"/>
      <c r="N76" s="2953"/>
      <c r="O76" s="2953"/>
      <c r="P76" s="2977"/>
      <c r="Q76" s="2944"/>
      <c r="R76" s="2945"/>
      <c r="S76" s="2945"/>
      <c r="T76" s="2945"/>
      <c r="U76" s="2945"/>
      <c r="V76" s="2945"/>
      <c r="W76" s="2945"/>
      <c r="X76" s="2945"/>
      <c r="Y76" s="2945"/>
      <c r="Z76" s="2945"/>
      <c r="AA76" s="2945"/>
      <c r="AB76" s="2945"/>
      <c r="AC76" s="2945"/>
      <c r="AD76" s="2945"/>
    </row>
    <row r="77" spans="1:30" ht="15" thickTop="1">
      <c r="A77" s="483" t="s">
        <v>2324</v>
      </c>
      <c r="B77" s="484" t="s">
        <v>2377</v>
      </c>
      <c r="C77" s="510"/>
      <c r="D77" s="510"/>
      <c r="E77" s="486"/>
      <c r="F77" s="486"/>
      <c r="G77" s="486"/>
      <c r="H77" s="486"/>
      <c r="I77" s="486"/>
      <c r="J77" s="486"/>
      <c r="K77" s="487"/>
      <c r="L77" s="488"/>
      <c r="M77" s="489"/>
      <c r="N77" s="2951"/>
      <c r="O77" s="2951"/>
      <c r="P77" s="2976"/>
      <c r="Q77" s="2937"/>
      <c r="R77" s="2923"/>
      <c r="S77" s="2923"/>
      <c r="T77" s="2923"/>
      <c r="U77" s="2923"/>
      <c r="V77" s="2923"/>
      <c r="W77" s="2923"/>
      <c r="X77" s="2923"/>
      <c r="Y77" s="2923"/>
      <c r="Z77" s="2923"/>
      <c r="AA77" s="2923"/>
      <c r="AB77" s="2923"/>
      <c r="AC77" s="2923"/>
      <c r="AD77" s="2923"/>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0"/>
      <c r="B79" s="494" t="s">
        <v>2492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50"/>
      <c r="O79" s="2950"/>
      <c r="P79" s="2976"/>
      <c r="Q79" s="2937"/>
      <c r="R79" s="2923"/>
      <c r="S79" s="2923"/>
      <c r="T79" s="2923"/>
      <c r="U79" s="2923"/>
      <c r="V79" s="2923"/>
      <c r="W79" s="2923"/>
      <c r="X79" s="2923"/>
      <c r="Y79" s="2923"/>
      <c r="Z79" s="2923"/>
      <c r="AA79" s="2923"/>
      <c r="AB79" s="2923"/>
      <c r="AC79" s="2923"/>
      <c r="AD79" s="2923"/>
    </row>
    <row r="80" spans="1:30" ht="15">
      <c r="A80" s="490"/>
      <c r="B80" s="502"/>
      <c r="C80" s="559">
        <v>0.5</v>
      </c>
      <c r="D80" s="559">
        <v>0.6</v>
      </c>
      <c r="E80" s="559">
        <v>0.7</v>
      </c>
      <c r="F80" s="559">
        <v>0.8</v>
      </c>
      <c r="G80" s="559">
        <v>0.9</v>
      </c>
      <c r="H80" s="559">
        <v>1.0001</v>
      </c>
      <c r="I80" s="615"/>
      <c r="J80" s="615"/>
      <c r="K80" s="623"/>
      <c r="L80" s="624"/>
      <c r="M80" s="625"/>
      <c r="N80" s="2950"/>
      <c r="O80" s="2950"/>
      <c r="P80" s="2976"/>
      <c r="Q80" s="2937"/>
      <c r="R80" s="2923"/>
      <c r="S80" s="2923"/>
      <c r="T80" s="2923"/>
      <c r="U80" s="2923"/>
      <c r="V80" s="2923"/>
      <c r="W80" s="2923"/>
      <c r="X80" s="2923"/>
      <c r="Y80" s="2923"/>
      <c r="Z80" s="2923"/>
      <c r="AA80" s="2923"/>
      <c r="AB80" s="2923"/>
      <c r="AC80" s="2923"/>
      <c r="AD80" s="2923"/>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5"/>
      <c r="B82" s="502" t="s">
        <v>2493</v>
      </c>
      <c r="C82" s="510"/>
      <c r="D82" s="510"/>
      <c r="E82" s="539"/>
      <c r="F82" s="539"/>
      <c r="G82" s="539"/>
      <c r="H82" s="539"/>
      <c r="I82" s="539"/>
      <c r="J82" s="539"/>
      <c r="K82" s="540"/>
      <c r="L82" s="541"/>
      <c r="M82" s="542"/>
      <c r="N82" s="2951"/>
      <c r="O82" s="2951"/>
      <c r="P82" s="2976"/>
      <c r="Q82" s="2937"/>
      <c r="R82" s="2923"/>
      <c r="S82" s="2923"/>
      <c r="T82" s="2923"/>
      <c r="U82" s="2923"/>
      <c r="V82" s="2923"/>
      <c r="W82" s="2923"/>
      <c r="X82" s="2923"/>
      <c r="Y82" s="2923"/>
      <c r="Z82" s="2923"/>
      <c r="AA82" s="2923"/>
      <c r="AB82" s="2923"/>
      <c r="AC82" s="2923"/>
      <c r="AD82" s="2923"/>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5"/>
      <c r="B84" s="494" t="s">
        <v>2501</v>
      </c>
      <c r="C84" s="510"/>
      <c r="D84" s="510"/>
      <c r="E84" s="510"/>
      <c r="F84" s="510"/>
      <c r="G84" s="510"/>
      <c r="H84" s="510"/>
      <c r="I84" s="539"/>
      <c r="J84" s="539"/>
      <c r="K84" s="540"/>
      <c r="L84" s="541"/>
      <c r="M84" s="542"/>
      <c r="N84" s="2951"/>
      <c r="O84" s="2951"/>
      <c r="P84" s="2976"/>
      <c r="Q84" s="2937"/>
      <c r="R84" s="2923"/>
      <c r="S84" s="2923"/>
      <c r="T84" s="2923"/>
      <c r="U84" s="2923"/>
      <c r="V84" s="2923"/>
      <c r="W84" s="2923"/>
      <c r="X84" s="2923"/>
      <c r="Y84" s="2923"/>
      <c r="Z84" s="2923"/>
      <c r="AA84" s="2923"/>
      <c r="AB84" s="2923"/>
      <c r="AC84" s="2923"/>
      <c r="AD84" s="2923"/>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5"/>
      <c r="B86" s="502" t="s">
        <v>2502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5"/>
      <c r="B87" s="502"/>
      <c r="C87" s="551"/>
      <c r="D87" s="551"/>
      <c r="E87" s="551"/>
      <c r="F87" s="551"/>
      <c r="G87" s="551"/>
      <c r="H87" s="551"/>
      <c r="I87" s="551"/>
      <c r="J87" s="552"/>
      <c r="K87" s="552"/>
      <c r="L87" s="553"/>
      <c r="M87" s="554"/>
      <c r="N87" s="2951"/>
      <c r="O87" s="2951"/>
      <c r="P87" s="2976"/>
      <c r="Q87" s="2937"/>
      <c r="R87" s="2923"/>
      <c r="S87" s="2923"/>
      <c r="T87" s="2923"/>
      <c r="U87" s="2923"/>
      <c r="V87" s="2923"/>
      <c r="W87" s="2923"/>
      <c r="X87" s="2923"/>
      <c r="Y87" s="2923"/>
      <c r="Z87" s="2923"/>
      <c r="AA87" s="2923"/>
      <c r="AB87" s="2923"/>
      <c r="AC87" s="2923"/>
      <c r="AD87" s="2923"/>
    </row>
    <row r="88" spans="1:30" ht="15.75" thickBot="1">
      <c r="A88" s="490"/>
      <c r="B88" s="499"/>
      <c r="C88" s="516"/>
      <c r="D88" s="492"/>
      <c r="E88" s="492"/>
      <c r="F88" s="492"/>
      <c r="G88" s="492"/>
      <c r="H88" s="492"/>
      <c r="I88" s="492"/>
      <c r="J88" s="492"/>
      <c r="K88" s="492"/>
      <c r="L88" s="492"/>
      <c r="M88" s="492"/>
      <c r="N88" s="2952"/>
      <c r="O88" s="2952"/>
      <c r="P88" s="2976"/>
      <c r="Q88" s="2937"/>
      <c r="R88" s="2923"/>
      <c r="S88" s="2923"/>
      <c r="T88" s="2923"/>
      <c r="U88" s="2923"/>
      <c r="V88" s="2923"/>
      <c r="W88" s="2923"/>
      <c r="X88" s="2923"/>
      <c r="Y88" s="2923"/>
      <c r="Z88" s="2923"/>
      <c r="AA88" s="2923"/>
      <c r="AB88" s="2923"/>
      <c r="AC88" s="2923"/>
      <c r="AD88" s="2923"/>
    </row>
    <row r="89" spans="1:30" s="429" customFormat="1" ht="15" thickTop="1">
      <c r="A89" s="549"/>
      <c r="B89" s="494" t="s">
        <v>2503</v>
      </c>
      <c r="C89" s="510"/>
      <c r="D89" s="510"/>
      <c r="E89" s="510"/>
      <c r="F89" s="510"/>
      <c r="G89" s="510"/>
      <c r="H89" s="510"/>
      <c r="I89" s="510"/>
      <c r="J89" s="510"/>
      <c r="K89" s="510"/>
      <c r="L89" s="510"/>
      <c r="M89" s="537"/>
      <c r="N89" s="2953"/>
      <c r="O89" s="2953"/>
      <c r="P89" s="2977"/>
      <c r="Q89" s="2944"/>
      <c r="R89" s="2945"/>
      <c r="S89" s="2945"/>
      <c r="T89" s="2945"/>
      <c r="U89" s="2945"/>
      <c r="V89" s="2945"/>
      <c r="W89" s="2945"/>
      <c r="X89" s="2945"/>
      <c r="Y89" s="2945"/>
      <c r="Z89" s="2945"/>
      <c r="AA89" s="2945"/>
      <c r="AB89" s="2945"/>
      <c r="AC89" s="2945"/>
      <c r="AD89" s="2945"/>
    </row>
    <row r="90" spans="1:30" s="429" customFormat="1" ht="15.75" thickBot="1">
      <c r="A90" s="509"/>
      <c r="B90" s="499"/>
      <c r="C90" s="516"/>
      <c r="D90" s="492"/>
      <c r="E90" s="492"/>
      <c r="F90" s="492"/>
      <c r="G90" s="492"/>
      <c r="H90" s="492"/>
      <c r="I90" s="492"/>
      <c r="J90" s="492"/>
      <c r="K90" s="492"/>
      <c r="L90" s="492"/>
      <c r="M90" s="493"/>
      <c r="N90" s="2953"/>
      <c r="O90" s="2953"/>
      <c r="P90" s="2977"/>
      <c r="Q90" s="2944"/>
      <c r="R90" s="2945"/>
      <c r="S90" s="2945"/>
      <c r="T90" s="2945"/>
      <c r="U90" s="2945"/>
      <c r="V90" s="2945"/>
      <c r="W90" s="2945"/>
      <c r="X90" s="2945"/>
      <c r="Y90" s="2945"/>
      <c r="Z90" s="2945"/>
      <c r="AA90" s="2945"/>
      <c r="AB90" s="2945"/>
      <c r="AC90" s="2945"/>
      <c r="AD90" s="2945"/>
    </row>
    <row r="91" spans="1:30" ht="15" thickTop="1">
      <c r="A91" s="555"/>
      <c r="B91" s="494">
        <f>B32</f>
        <v>111</v>
      </c>
      <c r="C91" s="505"/>
      <c r="D91" s="505"/>
      <c r="E91" s="505"/>
      <c r="F91" s="505"/>
      <c r="G91" s="510"/>
      <c r="H91" s="511"/>
      <c r="I91" s="511"/>
      <c r="J91" s="511"/>
      <c r="K91" s="511"/>
      <c r="L91" s="512"/>
      <c r="M91" s="513"/>
      <c r="N91" s="2951"/>
      <c r="O91" s="2951"/>
      <c r="P91" s="2976"/>
      <c r="Q91" s="2937"/>
      <c r="R91" s="2923"/>
      <c r="S91" s="2923"/>
      <c r="T91" s="2923"/>
      <c r="U91" s="2923"/>
      <c r="V91" s="2923"/>
      <c r="W91" s="2923"/>
      <c r="X91" s="2923"/>
      <c r="Y91" s="2923"/>
      <c r="Z91" s="2923"/>
      <c r="AA91" s="2923"/>
      <c r="AB91" s="2923"/>
      <c r="AC91" s="2923"/>
      <c r="AD91" s="2923"/>
    </row>
    <row r="92" spans="1:30" ht="15.75" thickBot="1">
      <c r="A92" s="490"/>
      <c r="B92" s="499"/>
      <c r="C92" s="516"/>
      <c r="D92" s="492"/>
      <c r="E92" s="492"/>
      <c r="F92" s="492"/>
      <c r="G92" s="516"/>
      <c r="H92" s="518"/>
      <c r="I92" s="518"/>
      <c r="J92" s="518"/>
      <c r="K92" s="518"/>
      <c r="L92" s="518"/>
      <c r="M92" s="519"/>
      <c r="N92" s="2952"/>
      <c r="O92" s="2952"/>
      <c r="P92" s="2976"/>
      <c r="Q92" s="2937"/>
      <c r="R92" s="2923"/>
      <c r="S92" s="2923"/>
      <c r="T92" s="2923"/>
      <c r="U92" s="2923"/>
      <c r="V92" s="2923"/>
      <c r="W92" s="2923"/>
      <c r="X92" s="2923"/>
      <c r="Y92" s="2923"/>
      <c r="Z92" s="2923"/>
      <c r="AA92" s="2923"/>
      <c r="AB92" s="2923"/>
      <c r="AC92" s="2923"/>
      <c r="AD92" s="2923"/>
    </row>
    <row r="93" spans="1:30" ht="15" thickTop="1">
      <c r="A93" s="555"/>
      <c r="B93" s="494">
        <f>B33</f>
        <v>111</v>
      </c>
      <c r="C93" s="505"/>
      <c r="D93" s="505"/>
      <c r="E93" s="505"/>
      <c r="F93" s="505"/>
      <c r="G93" s="510"/>
      <c r="H93" s="511"/>
      <c r="I93" s="511"/>
      <c r="J93" s="511"/>
      <c r="K93" s="511"/>
      <c r="L93" s="512"/>
      <c r="M93" s="513"/>
      <c r="N93" s="2951"/>
      <c r="O93" s="2951"/>
      <c r="P93" s="2976"/>
      <c r="Q93" s="2937"/>
      <c r="R93" s="2923"/>
      <c r="S93" s="2923"/>
      <c r="T93" s="2923"/>
      <c r="U93" s="2923"/>
      <c r="V93" s="2923"/>
      <c r="W93" s="2923"/>
      <c r="X93" s="2923"/>
      <c r="Y93" s="2923"/>
      <c r="Z93" s="2923"/>
      <c r="AA93" s="2923"/>
      <c r="AB93" s="2923"/>
      <c r="AC93" s="2923"/>
      <c r="AD93" s="2923"/>
    </row>
    <row r="94" spans="1:30" ht="15.75" thickBot="1">
      <c r="A94" s="490"/>
      <c r="B94" s="499"/>
      <c r="C94" s="516"/>
      <c r="D94" s="492"/>
      <c r="E94" s="492"/>
      <c r="F94" s="492"/>
      <c r="G94" s="516"/>
      <c r="H94" s="518"/>
      <c r="I94" s="518"/>
      <c r="J94" s="518"/>
      <c r="K94" s="518"/>
      <c r="L94" s="518"/>
      <c r="M94" s="519"/>
      <c r="N94" s="2952"/>
      <c r="O94" s="2952"/>
      <c r="P94" s="2976"/>
      <c r="Q94" s="2937"/>
      <c r="R94" s="2923"/>
      <c r="S94" s="2923"/>
      <c r="T94" s="2923"/>
      <c r="U94" s="2923"/>
      <c r="V94" s="2923"/>
      <c r="W94" s="2923"/>
      <c r="X94" s="2923"/>
      <c r="Y94" s="2923"/>
      <c r="Z94" s="2923"/>
      <c r="AA94" s="2923"/>
      <c r="AB94" s="2923"/>
      <c r="AC94" s="2923"/>
      <c r="AD94" s="2923"/>
    </row>
    <row r="95" spans="1:30" ht="15" thickTop="1">
      <c r="A95" s="555"/>
      <c r="B95" s="591">
        <f>B34</f>
        <v>111</v>
      </c>
      <c r="C95" s="505"/>
      <c r="D95" s="505"/>
      <c r="E95" s="505"/>
      <c r="F95" s="505"/>
      <c r="G95" s="510"/>
      <c r="H95" s="511"/>
      <c r="I95" s="511"/>
      <c r="J95" s="511"/>
      <c r="K95" s="511"/>
      <c r="L95" s="512"/>
      <c r="M95" s="513"/>
      <c r="N95" s="2952"/>
      <c r="O95" s="2952"/>
      <c r="P95" s="2979"/>
      <c r="Q95" s="2966"/>
      <c r="R95" s="2923"/>
      <c r="S95" s="2923"/>
      <c r="T95" s="2923"/>
      <c r="U95" s="2923"/>
      <c r="V95" s="2923"/>
      <c r="W95" s="2923"/>
      <c r="X95" s="2923"/>
      <c r="Y95" s="2923"/>
      <c r="Z95" s="2923"/>
      <c r="AA95" s="2923"/>
      <c r="AB95" s="2923"/>
      <c r="AC95" s="2923"/>
      <c r="AD95" s="2923"/>
    </row>
    <row r="96" spans="1:30" ht="15.75" thickBot="1">
      <c r="A96" s="490"/>
      <c r="B96" s="499"/>
      <c r="C96" s="516"/>
      <c r="D96" s="516"/>
      <c r="E96" s="516"/>
      <c r="F96" s="516"/>
      <c r="G96" s="516"/>
      <c r="H96" s="518"/>
      <c r="I96" s="518"/>
      <c r="J96" s="518"/>
      <c r="K96" s="518"/>
      <c r="L96" s="518"/>
      <c r="M96" s="519"/>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6"/>
      <c r="B98" s="1066"/>
      <c r="C98" s="1066"/>
      <c r="D98" s="1066"/>
      <c r="E98" s="1066"/>
      <c r="F98" s="1066"/>
      <c r="G98" s="1066"/>
      <c r="H98" s="1066"/>
      <c r="I98" s="1066"/>
      <c r="J98" s="1066"/>
      <c r="K98" s="1067"/>
      <c r="L98" s="1068"/>
      <c r="M98" s="1066"/>
      <c r="N98" s="2923"/>
      <c r="O98" s="2923"/>
      <c r="P98" s="2923"/>
      <c r="Q98" s="2923"/>
      <c r="R98" s="2923"/>
      <c r="S98" s="2923"/>
      <c r="T98" s="2923"/>
      <c r="U98" s="2923"/>
      <c r="V98" s="2923"/>
      <c r="W98" s="2923"/>
      <c r="X98" s="2923"/>
      <c r="Y98" s="2923"/>
      <c r="Z98" s="2923"/>
      <c r="AA98" s="2923"/>
      <c r="AB98" s="2923"/>
      <c r="AC98" s="2923"/>
      <c r="AD98" s="2923"/>
    </row>
    <row r="99" spans="1:30">
      <c r="A99" s="1066"/>
      <c r="B99" s="1066"/>
      <c r="C99" s="1066"/>
      <c r="D99" s="1066"/>
      <c r="E99" s="1066"/>
      <c r="F99" s="1066"/>
      <c r="G99" s="1066"/>
      <c r="H99" s="1066"/>
      <c r="I99" s="1066"/>
      <c r="J99" s="1066"/>
      <c r="K99" s="1067"/>
      <c r="L99" s="1068"/>
      <c r="M99" s="1066"/>
      <c r="N99" s="2923"/>
      <c r="O99" s="2923"/>
      <c r="P99" s="2923"/>
      <c r="Q99" s="2923"/>
      <c r="R99" s="2923"/>
      <c r="S99" s="2923"/>
      <c r="T99" s="2923"/>
      <c r="U99" s="2923"/>
      <c r="V99" s="2923"/>
      <c r="W99" s="2923"/>
      <c r="X99" s="2923"/>
      <c r="Y99" s="2923"/>
      <c r="Z99" s="2923"/>
      <c r="AA99" s="2923"/>
      <c r="AB99" s="2923"/>
      <c r="AC99" s="2923"/>
      <c r="AD99" s="2923"/>
    </row>
    <row r="100" spans="1:30">
      <c r="A100" s="1066"/>
      <c r="B100" s="1066"/>
      <c r="C100" s="1066"/>
      <c r="D100" s="1066"/>
      <c r="E100" s="1066"/>
      <c r="F100" s="1066"/>
      <c r="G100" s="1066"/>
      <c r="H100" s="1066"/>
      <c r="I100" s="1066"/>
      <c r="J100" s="1066"/>
      <c r="K100" s="1067"/>
      <c r="L100" s="1068"/>
      <c r="M100" s="1066"/>
      <c r="N100" s="2923"/>
      <c r="O100" s="2923"/>
      <c r="P100" s="2923"/>
      <c r="Q100" s="2923"/>
      <c r="R100" s="2923"/>
      <c r="S100" s="2923"/>
      <c r="T100" s="2923"/>
      <c r="U100" s="2923"/>
      <c r="V100" s="2923"/>
      <c r="W100" s="2923"/>
      <c r="X100" s="2923"/>
      <c r="Y100" s="2923"/>
      <c r="Z100" s="2923"/>
      <c r="AA100" s="2923"/>
      <c r="AB100" s="2923"/>
      <c r="AC100" s="2923"/>
      <c r="AD100" s="2923"/>
    </row>
    <row r="101" spans="1:30">
      <c r="A101" s="1066"/>
      <c r="B101" s="1066"/>
      <c r="C101" s="1066"/>
      <c r="D101" s="1066"/>
      <c r="E101" s="1066"/>
      <c r="F101" s="1066"/>
      <c r="G101" s="1066"/>
      <c r="H101" s="1066"/>
      <c r="I101" s="1066"/>
      <c r="J101" s="1066"/>
      <c r="K101" s="1067"/>
      <c r="L101" s="1068"/>
      <c r="M101" s="1066"/>
      <c r="N101" s="2923"/>
      <c r="O101" s="2923"/>
      <c r="P101" s="2923"/>
      <c r="Q101" s="2923"/>
      <c r="R101" s="2923"/>
      <c r="S101" s="2923"/>
      <c r="T101" s="2923"/>
      <c r="U101" s="2923"/>
      <c r="V101" s="2923"/>
      <c r="W101" s="2923"/>
      <c r="X101" s="2923"/>
      <c r="Y101" s="2923"/>
      <c r="Z101" s="2923"/>
      <c r="AA101" s="2923"/>
      <c r="AB101" s="2923"/>
      <c r="AC101" s="2923"/>
      <c r="AD101" s="2923"/>
    </row>
    <row r="102" spans="1:30">
      <c r="A102" s="1066"/>
      <c r="B102" s="1066"/>
      <c r="C102" s="1066"/>
      <c r="D102" s="1066"/>
      <c r="E102" s="1066"/>
      <c r="F102" s="1066"/>
      <c r="G102" s="1066"/>
      <c r="H102" s="1066"/>
      <c r="I102" s="1066"/>
      <c r="J102" s="1066"/>
      <c r="K102" s="1067"/>
      <c r="L102" s="1068"/>
      <c r="M102" s="1066"/>
      <c r="N102" s="2923"/>
      <c r="O102" s="2923"/>
      <c r="P102" s="2923"/>
      <c r="Q102" s="2923"/>
      <c r="R102" s="2923"/>
      <c r="S102" s="2923"/>
      <c r="T102" s="2923"/>
      <c r="U102" s="2923"/>
      <c r="V102" s="2923"/>
      <c r="W102" s="2923"/>
      <c r="X102" s="2923"/>
      <c r="Y102" s="2923"/>
      <c r="Z102" s="2923"/>
      <c r="AA102" s="2923"/>
      <c r="AB102" s="2923"/>
      <c r="AC102" s="2923"/>
      <c r="AD102" s="2923"/>
    </row>
    <row r="103" spans="1:30">
      <c r="A103" s="1066"/>
      <c r="B103" s="1066"/>
      <c r="C103" s="1066"/>
      <c r="D103" s="1066"/>
      <c r="E103" s="1066"/>
      <c r="F103" s="1066"/>
      <c r="G103" s="1066"/>
      <c r="H103" s="1066"/>
      <c r="I103" s="1066"/>
      <c r="J103" s="1066"/>
      <c r="K103" s="1067"/>
      <c r="L103" s="1068"/>
      <c r="M103" s="1066"/>
      <c r="N103" s="1066"/>
      <c r="O103" s="1066"/>
      <c r="P103" s="2923"/>
      <c r="Q103" s="2923"/>
      <c r="R103" s="2923"/>
      <c r="S103" s="2923"/>
      <c r="T103" s="2923"/>
      <c r="U103" s="2923"/>
      <c r="V103" s="2923"/>
      <c r="W103" s="2923"/>
      <c r="X103" s="2923"/>
      <c r="Y103" s="2923"/>
      <c r="Z103" s="2923"/>
      <c r="AA103" s="2923"/>
      <c r="AB103" s="2923"/>
      <c r="AC103" s="2923"/>
      <c r="AD103" s="2923"/>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57" priority="18" stopIfTrue="1" operator="containsText" text="超过">
      <formula>NOT(ISERROR(SEARCH("超过",F40)))</formula>
    </cfRule>
  </conditionalFormatting>
  <conditionalFormatting sqref="J42">
    <cfRule type="containsText" dxfId="156" priority="17" stopIfTrue="1" operator="containsText" text="超过">
      <formula>NOT(ISERROR(SEARCH("超过",J42)))</formula>
    </cfRule>
  </conditionalFormatting>
  <conditionalFormatting sqref="H42">
    <cfRule type="containsText" dxfId="155" priority="16" stopIfTrue="1" operator="containsText" text="超过">
      <formula>NOT(ISERROR(SEARCH("超过",H42)))</formula>
    </cfRule>
  </conditionalFormatting>
  <conditionalFormatting sqref="F42">
    <cfRule type="containsText" dxfId="154" priority="15" stopIfTrue="1" operator="containsText" text="超过">
      <formula>NOT(ISERROR(SEARCH("超过",F42)))</formula>
    </cfRule>
  </conditionalFormatting>
  <conditionalFormatting sqref="F41 H41 J41">
    <cfRule type="containsText" dxfId="153" priority="14" stopIfTrue="1" operator="containsText" text="超过">
      <formula>NOT(ISERROR(SEARCH("超过",F41)))</formula>
    </cfRule>
  </conditionalFormatting>
  <conditionalFormatting sqref="E40">
    <cfRule type="expression" dxfId="152" priority="13" stopIfTrue="1">
      <formula>$F$40="超过30%"</formula>
    </cfRule>
  </conditionalFormatting>
  <conditionalFormatting sqref="G42">
    <cfRule type="expression" dxfId="151" priority="12" stopIfTrue="1">
      <formula>$H$54+$H$42="超过30%"</formula>
    </cfRule>
  </conditionalFormatting>
  <conditionalFormatting sqref="E41">
    <cfRule type="expression" dxfId="150" priority="11" stopIfTrue="1">
      <formula>$F$41="超过20%"</formula>
    </cfRule>
  </conditionalFormatting>
  <conditionalFormatting sqref="E42">
    <cfRule type="expression" dxfId="149" priority="10" stopIfTrue="1">
      <formula>$F$42="超过30%"</formula>
    </cfRule>
  </conditionalFormatting>
  <conditionalFormatting sqref="G40">
    <cfRule type="expression" dxfId="148" priority="9" stopIfTrue="1">
      <formula>$H$52+$H$40="超过30%"</formula>
    </cfRule>
  </conditionalFormatting>
  <conditionalFormatting sqref="G41">
    <cfRule type="expression" dxfId="147" priority="8" stopIfTrue="1">
      <formula>$H$53+$H$41="超过20%"</formula>
    </cfRule>
  </conditionalFormatting>
  <conditionalFormatting sqref="I40">
    <cfRule type="expression" dxfId="146" priority="7" stopIfTrue="1">
      <formula>$J$40="超过30%"</formula>
    </cfRule>
  </conditionalFormatting>
  <conditionalFormatting sqref="I41">
    <cfRule type="expression" dxfId="145" priority="6" stopIfTrue="1">
      <formula>$J$41="超过20%"</formula>
    </cfRule>
  </conditionalFormatting>
  <conditionalFormatting sqref="I42">
    <cfRule type="expression" dxfId="144" priority="5" stopIfTrue="1">
      <formula>$J$42="超过30%"</formula>
    </cfRule>
  </conditionalFormatting>
  <conditionalFormatting sqref="F36">
    <cfRule type="expression" dxfId="143" priority="4">
      <formula>$D$36="简单平均"</formula>
    </cfRule>
  </conditionalFormatting>
  <conditionalFormatting sqref="H36">
    <cfRule type="expression" dxfId="142" priority="3">
      <formula>$D$36="简单平均"</formula>
    </cfRule>
  </conditionalFormatting>
  <conditionalFormatting sqref="J36">
    <cfRule type="expression" dxfId="141" priority="2">
      <formula>$D$36="简单平均"</formula>
    </cfRule>
  </conditionalFormatting>
  <conditionalFormatting sqref="F7:F34 H7:H34 J7:J34">
    <cfRule type="cellIs" dxfId="140" priority="1" operator="notEqual">
      <formula>100</formula>
    </cfRule>
  </conditionalFormatting>
  <dataValidations count="18">
    <dataValidation type="list" allowBlank="1" showInputMessage="1" showErrorMessage="1" sqref="G15 E15 C15 I15" xr:uid="{00000000-0002-0000-1700-000000000000}">
      <formula1>交通便捷度</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D1" xr:uid="{00000000-0002-0000-1700-000002000000}">
      <formula1>项目类型</formula1>
    </dataValidation>
    <dataValidation type="list" allowBlank="1" showInputMessage="1" showErrorMessage="1" sqref="C10 E10 G10 I10" xr:uid="{00000000-0002-0000-1700-000003000000}">
      <formula1>土地年限区间</formula1>
    </dataValidation>
    <dataValidation type="list" allowBlank="1" showInputMessage="1" showErrorMessage="1" sqref="C8 E8 G8 I8" xr:uid="{00000000-0002-0000-1700-000004000000}">
      <formula1>仓储交易情况</formula1>
    </dataValidation>
    <dataValidation type="list" allowBlank="1" showInputMessage="1" showErrorMessage="1" sqref="E9 G9 I9" xr:uid="{00000000-0002-0000-1700-000005000000}">
      <formula1>仓储用途</formula1>
    </dataValidation>
    <dataValidation type="list" allowBlank="1" showInputMessage="1" showErrorMessage="1" sqref="C21 E21 G21 I21" xr:uid="{00000000-0002-0000-1700-000006000000}">
      <formula1>环境</formula1>
    </dataValidation>
    <dataValidation type="list" allowBlank="1" showInputMessage="1" showErrorMessage="1" sqref="C22 E22 G22 I22" xr:uid="{00000000-0002-0000-1700-000007000000}">
      <formula1>仓储楼层</formula1>
    </dataValidation>
    <dataValidation type="list" allowBlank="1" showInputMessage="1" showErrorMessage="1" sqref="C26 E26 G26 I26" xr:uid="{00000000-0002-0000-1700-000008000000}">
      <formula1>仓储公共部分装修</formula1>
    </dataValidation>
    <dataValidation type="list" allowBlank="1" showInputMessage="1" showErrorMessage="1" sqref="C29 E29 G29 I29" xr:uid="{00000000-0002-0000-1700-000009000000}">
      <formula1>有无电梯</formula1>
    </dataValidation>
    <dataValidation type="list" allowBlank="1" showInputMessage="1" showErrorMessage="1" sqref="C31 E31 G31 I31" xr:uid="{00000000-0002-0000-1700-00000A000000}">
      <formula1>是否封闭</formula1>
    </dataValidation>
    <dataValidation type="list" allowBlank="1" showInputMessage="1" showErrorMessage="1" sqref="B1" xr:uid="{00000000-0002-0000-1700-00000B000000}">
      <formula1>地类判定</formula1>
    </dataValidation>
    <dataValidation type="list" allowBlank="1" showInputMessage="1" showErrorMessage="1" sqref="C28 E28 G28 I28" xr:uid="{00000000-0002-0000-1700-00000C000000}">
      <formula1>仓储物业等级</formula1>
    </dataValidation>
    <dataValidation type="list" allowBlank="1" showInputMessage="1" showErrorMessage="1" sqref="C19 E19 G19 I19" xr:uid="{00000000-0002-0000-1700-00000D000000}">
      <formula1>基础设施水平</formula1>
    </dataValidation>
    <dataValidation type="list" allowBlank="1" showInputMessage="1" showErrorMessage="1" sqref="F1" xr:uid="{00000000-0002-0000-1700-00000E000000}">
      <formula1>"售价,租金"</formula1>
    </dataValidation>
    <dataValidation type="list" allowBlank="1" showInputMessage="1" showErrorMessage="1" sqref="C2" xr:uid="{00000000-0002-0000-1700-00000F000000}">
      <formula1>"需扣减承租人权益,——"</formula1>
    </dataValidation>
    <dataValidation type="list" allowBlank="1" showInputMessage="1" showErrorMessage="1" sqref="F2" xr:uid="{00000000-0002-0000-1700-000010000000}">
      <formula1>估价方法</formula1>
    </dataValidation>
    <dataValidation type="list" allowBlank="1" showInputMessage="1" showErrorMessage="1" sqref="D36" xr:uid="{00000000-0002-0000-17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3136</v>
      </c>
      <c r="C1" s="203"/>
      <c r="D1" s="203"/>
      <c r="E1" s="203"/>
      <c r="F1" s="203"/>
      <c r="G1" s="1259">
        <f>MATCH(B1,'数据-取费表'!A6:A16,0)+5</f>
        <v>6</v>
      </c>
    </row>
    <row r="2" spans="1:9" s="205" customFormat="1" ht="18" customHeight="1">
      <c r="A2" s="206" t="s">
        <v>1299</v>
      </c>
      <c r="B2" s="207">
        <f ca="1">IF(D2="——",C52,C52-E2)</f>
        <v>10511</v>
      </c>
      <c r="C2" s="204" t="s">
        <v>2089</v>
      </c>
      <c r="D2" s="2008" t="s">
        <v>70</v>
      </c>
      <c r="E2" s="1302" t="e">
        <f ca="1">SUMIF(INDIRECT("'"&amp;G2&amp;"'"&amp;"!A:A"),"承租人权益价值",INDIRECT("'"&amp;G2&amp;"'"&amp;"!c:c"))</f>
        <v>#REF!</v>
      </c>
      <c r="F2" s="2009" t="s">
        <v>2089</v>
      </c>
      <c r="G2" s="2010"/>
    </row>
    <row r="3" spans="1:9" s="205" customFormat="1" ht="18" customHeight="1" thickBot="1">
      <c r="A3" s="208" t="s">
        <v>1300</v>
      </c>
      <c r="B3" s="209">
        <f ca="1">ROUND(B2*10000/(IF(B1="",'数据-汇总表'!E3,INDIRECT("'数据-取费表'!k"&amp;$G$1))),0)</f>
        <v>8923</v>
      </c>
      <c r="C3" s="204" t="s">
        <v>2091</v>
      </c>
      <c r="D3" s="204"/>
      <c r="E3" s="204"/>
      <c r="F3" s="204"/>
      <c r="G3" s="204"/>
    </row>
    <row r="4" spans="1:9" s="213" customFormat="1" ht="15.75">
      <c r="A4" s="210" t="s">
        <v>2092</v>
      </c>
      <c r="B4" s="211"/>
      <c r="C4" s="211"/>
      <c r="D4" s="211"/>
      <c r="E4" s="211"/>
      <c r="F4" s="211"/>
      <c r="G4" s="212"/>
    </row>
    <row r="5" spans="1:9" s="219" customFormat="1" ht="13.5" customHeight="1">
      <c r="A5" s="260" t="s">
        <v>782</v>
      </c>
      <c r="B5" s="215" t="s">
        <v>2094</v>
      </c>
      <c r="C5" s="216">
        <f>C6+C7+C8</f>
        <v>3655</v>
      </c>
      <c r="D5" s="216" t="s">
        <v>2095</v>
      </c>
      <c r="E5" s="217" t="s">
        <v>2096</v>
      </c>
      <c r="F5" s="217" t="s">
        <v>2097</v>
      </c>
      <c r="G5" s="218"/>
    </row>
    <row r="6" spans="1:9" s="219" customFormat="1" ht="13.5" customHeight="1">
      <c r="A6" s="885" t="s">
        <v>791</v>
      </c>
      <c r="B6" s="220" t="s">
        <v>2099</v>
      </c>
      <c r="C6" s="221">
        <f>基准地价修正!E39</f>
        <v>3547</v>
      </c>
      <c r="D6" s="222"/>
      <c r="E6" s="223"/>
      <c r="F6" s="223"/>
      <c r="G6" s="224"/>
    </row>
    <row r="7" spans="1:9" s="219" customFormat="1" ht="13.5" customHeight="1">
      <c r="A7" s="885" t="s">
        <v>792</v>
      </c>
      <c r="B7" s="220" t="s">
        <v>2101</v>
      </c>
      <c r="C7" s="225">
        <f>ROUND(C6*F7,0)</f>
        <v>108</v>
      </c>
      <c r="D7" s="225"/>
      <c r="E7" s="223"/>
      <c r="F7" s="226">
        <f>IF(项目基本情况!B8="出让",0,'数据-取费表'!B48+'数据-取费表'!B49)</f>
        <v>3.0499999999999999E-2</v>
      </c>
      <c r="G7" s="224"/>
    </row>
    <row r="8" spans="1:9" s="228" customFormat="1">
      <c r="A8" s="885" t="s">
        <v>793</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236</v>
      </c>
      <c r="D10" s="953">
        <f ca="1">IF(B1="",'数据-汇总表'!E6,IF(INDIRECT("'数据-取费表'!c"&amp;$G$1)="住宅",INDIRECT("'数据-取费表'!s"&amp;$G$1),INDIRECT("'数据-取费表'!k"&amp;$G$1)+INDIRECT("'数据-取费表'!s"&amp;$G$1)))</f>
        <v>11780.21</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2103</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2103</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236</v>
      </c>
      <c r="D19" s="957">
        <f ca="1">D9+D10</f>
        <v>11780.21</v>
      </c>
      <c r="E19" s="216">
        <f>'数据-取费表'!B31</f>
        <v>200</v>
      </c>
      <c r="F19" s="236"/>
      <c r="G19" s="2011" t="s">
        <v>1042</v>
      </c>
    </row>
    <row r="20" spans="1:7" s="219" customFormat="1" ht="13.5" customHeight="1">
      <c r="A20" s="260" t="s">
        <v>2119</v>
      </c>
      <c r="B20" s="215" t="s">
        <v>2120</v>
      </c>
      <c r="C20" s="237">
        <f ca="1">ROUND((C5+C19)*F20,0)</f>
        <v>78</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382</v>
      </c>
      <c r="D22" s="240">
        <f>C26</f>
        <v>1E-3</v>
      </c>
      <c r="E22" s="241" t="s">
        <v>2124</v>
      </c>
      <c r="F22" s="242">
        <f>'数据-取费表'!B40</f>
        <v>4.7500000000000001E-2</v>
      </c>
      <c r="G22" s="239" t="str">
        <f>IF('数据-取费表'!B22&lt;=1,"单利计息","复利计息")</f>
        <v>复利计息</v>
      </c>
    </row>
    <row r="23" spans="1:7" s="219" customFormat="1" ht="13.5" customHeight="1">
      <c r="A23" s="887" t="s">
        <v>791</v>
      </c>
      <c r="B23" s="220" t="s">
        <v>2129</v>
      </c>
      <c r="C23" s="1236">
        <f>ROUND(IF('数据-取费表'!B22&lt;=1,C5*F22*'数据-取费表'!B23,C5*(POWER((1+F22),'数据-取费表'!B23)-1)),0)</f>
        <v>355</v>
      </c>
      <c r="D23" s="243"/>
      <c r="E23" s="243"/>
      <c r="F23" s="244"/>
      <c r="G23" s="245" t="s">
        <v>2130</v>
      </c>
    </row>
    <row r="24" spans="1:7" s="219" customFormat="1" ht="13.5" customHeight="1">
      <c r="A24" s="887" t="s">
        <v>792</v>
      </c>
      <c r="B24" s="220" t="s">
        <v>2132</v>
      </c>
      <c r="C24" s="1236">
        <f ca="1">ROUND(IF('数据-取费表'!B22&lt;=1,C19*F22*('数据-取费表'!B19/2+'数据-取费表'!B21),C19*(POWER((1+F22),('数据-取费表'!B19/2+'数据-取费表'!B21))-1)),0)</f>
        <v>23</v>
      </c>
      <c r="D24" s="243"/>
      <c r="E24" s="243"/>
      <c r="F24" s="244"/>
      <c r="G24" s="245" t="s">
        <v>2133</v>
      </c>
    </row>
    <row r="25" spans="1:7" s="219" customFormat="1" ht="24">
      <c r="A25" s="887" t="s">
        <v>793</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198</v>
      </c>
      <c r="D27" s="240">
        <f ca="1">C29</f>
        <v>1E-3</v>
      </c>
      <c r="E27" s="241" t="s">
        <v>2124</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198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2124</v>
      </c>
      <c r="E30" s="246"/>
      <c r="F30" s="242">
        <f>'数据-取费表'!B41</f>
        <v>5.5000000000000007E-2</v>
      </c>
      <c r="G30" s="239" t="s">
        <v>2146</v>
      </c>
    </row>
    <row r="31" spans="1:7" ht="16.5" customHeight="1">
      <c r="A31" s="214">
        <v>1</v>
      </c>
      <c r="B31" s="215" t="s">
        <v>2147</v>
      </c>
      <c r="C31" s="216">
        <f ca="1">ROUND((C5+C19+C20+C22+C27)/(1-C21-D22-D27-C30),0)</f>
        <v>4915</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4627</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4123</v>
      </c>
      <c r="D34" s="222"/>
      <c r="E34" s="225"/>
      <c r="F34" s="262">
        <f ca="1">IF('数据-取费表'!B24=0,1,IF(B1="",'数据-取费表'!N16,INDIRECT("'数据-取费表'!n"&amp;$G$1)))</f>
        <v>1</v>
      </c>
      <c r="G34" s="224" t="s">
        <v>2152</v>
      </c>
    </row>
    <row r="35" spans="1:7" ht="13.5" customHeight="1">
      <c r="A35" s="887" t="s">
        <v>796</v>
      </c>
      <c r="B35" s="220" t="s">
        <v>2153</v>
      </c>
      <c r="C35" s="225">
        <f ca="1">ROUND(C34*F35,0)</f>
        <v>206</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236</v>
      </c>
      <c r="D37" s="222">
        <f ca="1">D19</f>
        <v>11780.21</v>
      </c>
      <c r="E37" s="254">
        <f>'数据-取费表'!B35</f>
        <v>200</v>
      </c>
      <c r="F37" s="264"/>
      <c r="G37" s="266" t="s">
        <v>2158</v>
      </c>
    </row>
    <row r="38" spans="1:7" ht="13.5" customHeight="1">
      <c r="A38" s="887" t="s">
        <v>799</v>
      </c>
      <c r="B38" s="220" t="s">
        <v>2159</v>
      </c>
      <c r="C38" s="225">
        <f ca="1">ROUND(C34*F38,0)</f>
        <v>62</v>
      </c>
      <c r="D38" s="225"/>
      <c r="E38" s="225"/>
      <c r="F38" s="264">
        <f>'数据-取费表'!B36</f>
        <v>1.4999999999999999E-2</v>
      </c>
      <c r="G38" s="224" t="s">
        <v>2154</v>
      </c>
    </row>
    <row r="39" spans="1:7" s="219" customFormat="1" ht="13.5" customHeight="1">
      <c r="A39" s="260" t="s">
        <v>2117</v>
      </c>
      <c r="B39" s="215" t="s">
        <v>2120</v>
      </c>
      <c r="C39" s="237">
        <f ca="1">ROUND(C33*F20,0)</f>
        <v>93</v>
      </c>
      <c r="D39" s="237"/>
      <c r="E39" s="237"/>
      <c r="F39" s="2504">
        <f>F20</f>
        <v>0.02</v>
      </c>
      <c r="G39" s="239" t="s">
        <v>2162</v>
      </c>
    </row>
    <row r="40" spans="1:7" s="219" customFormat="1" ht="13.5" customHeight="1">
      <c r="A40" s="260" t="s">
        <v>2119</v>
      </c>
      <c r="B40" s="215" t="s">
        <v>2123</v>
      </c>
      <c r="C40" s="1466">
        <f>F21</f>
        <v>0.02</v>
      </c>
      <c r="D40" s="241" t="s">
        <v>2165</v>
      </c>
      <c r="E40" s="237"/>
      <c r="F40" s="2504">
        <f>F21</f>
        <v>0.02</v>
      </c>
      <c r="G40" s="239" t="s">
        <v>2166</v>
      </c>
    </row>
    <row r="41" spans="1:7" s="219" customFormat="1" ht="13.5" customHeight="1">
      <c r="A41" s="260" t="s">
        <v>2122</v>
      </c>
      <c r="B41" s="215" t="s">
        <v>2127</v>
      </c>
      <c r="C41" s="237">
        <f ca="1">ROUND(SUM(C42:C43),0)</f>
        <v>224</v>
      </c>
      <c r="D41" s="240">
        <f>C44</f>
        <v>1E-3</v>
      </c>
      <c r="E41" s="241" t="s">
        <v>2165</v>
      </c>
      <c r="F41" s="2505">
        <f>F22</f>
        <v>4.7500000000000001E-2</v>
      </c>
      <c r="G41" s="239" t="str">
        <f>IF('数据-取费表'!B22&lt;=1,"单利计息","复利计息")</f>
        <v>复利计息</v>
      </c>
    </row>
    <row r="42" spans="1:7" ht="13.5" customHeight="1">
      <c r="A42" s="887" t="s">
        <v>791</v>
      </c>
      <c r="B42" s="220" t="s">
        <v>2129</v>
      </c>
      <c r="C42" s="243">
        <f ca="1">ROUND(IF('数据-取费表'!B22&lt;=1,C33*F22*'数据-取费表'!B21/2,C33*(POWER((1+F22),'数据-取费表'!B21/2)-1)),0)</f>
        <v>220</v>
      </c>
      <c r="D42" s="243"/>
      <c r="E42" s="243"/>
      <c r="F42" s="244"/>
      <c r="G42" s="3500" t="s">
        <v>2170</v>
      </c>
    </row>
    <row r="43" spans="1:7" ht="13.5" customHeight="1">
      <c r="A43" s="887" t="s">
        <v>792</v>
      </c>
      <c r="B43" s="220" t="s">
        <v>2132</v>
      </c>
      <c r="C43" s="243">
        <f ca="1">ROUND(IF('数据-取费表'!B22&lt;=1,C39*F22*'数据-取费表'!B21/2,C39*(POWER((1+F22),'数据-取费表'!B21/2)-1)),0)</f>
        <v>4</v>
      </c>
      <c r="D43" s="243"/>
      <c r="E43" s="243"/>
      <c r="F43" s="244"/>
      <c r="G43" s="3501"/>
    </row>
    <row r="44" spans="1:7" ht="13.5" customHeight="1">
      <c r="A44" s="887" t="s">
        <v>793</v>
      </c>
      <c r="B44" s="220" t="s">
        <v>2135</v>
      </c>
      <c r="C44" s="243">
        <f>ROUND(IF('数据-取费表'!B22&lt;=1,C40*F22*'数据-取费表'!B21/2,C40*(POWER((1+F22),'数据-取费表'!B21/2)-1)),4)</f>
        <v>1E-3</v>
      </c>
      <c r="D44" s="243"/>
      <c r="E44" s="243"/>
      <c r="F44" s="244"/>
      <c r="G44" s="3502"/>
    </row>
    <row r="45" spans="1:7" s="219" customFormat="1" ht="13.5" customHeight="1">
      <c r="A45" s="260" t="s">
        <v>2126</v>
      </c>
      <c r="B45" s="249" t="s">
        <v>2139</v>
      </c>
      <c r="C45" s="250">
        <f ca="1">C46</f>
        <v>236</v>
      </c>
      <c r="D45" s="240">
        <f ca="1">C47</f>
        <v>1E-3</v>
      </c>
      <c r="E45" s="241" t="s">
        <v>2165</v>
      </c>
      <c r="F45" s="2506">
        <f ca="1">F27</f>
        <v>0.05</v>
      </c>
      <c r="G45" s="252" t="s">
        <v>2174</v>
      </c>
    </row>
    <row r="46" spans="1:7" s="219" customFormat="1" ht="13.5" customHeight="1">
      <c r="A46" s="887" t="s">
        <v>791</v>
      </c>
      <c r="B46" s="253" t="s">
        <v>2175</v>
      </c>
      <c r="C46" s="254">
        <f ca="1">ROUND((C33+C39)*F27,0)</f>
        <v>236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5596</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5596</v>
      </c>
      <c r="D51" s="237"/>
      <c r="E51" s="237"/>
      <c r="F51" s="269"/>
      <c r="G51" s="239" t="s">
        <v>2186</v>
      </c>
    </row>
    <row r="52" spans="1:7" s="213" customFormat="1" ht="16.5" thickBot="1">
      <c r="A52" s="270" t="s">
        <v>2187</v>
      </c>
      <c r="B52" s="271"/>
      <c r="C52" s="272">
        <f ca="1">C31+C51</f>
        <v>10511</v>
      </c>
      <c r="D52" s="271"/>
      <c r="E52" s="271"/>
      <c r="F52" s="271"/>
      <c r="G52" s="273"/>
    </row>
    <row r="55" spans="1:7" ht="15">
      <c r="B55" s="275" t="s">
        <v>2188</v>
      </c>
      <c r="C55" s="276"/>
    </row>
    <row r="56" spans="1:7">
      <c r="B56" s="278" t="s">
        <v>1418</v>
      </c>
      <c r="C56" s="280">
        <f ca="1">1-C57</f>
        <v>0.46799999999999997</v>
      </c>
    </row>
    <row r="57" spans="1:7">
      <c r="B57" s="278" t="s">
        <v>1419</v>
      </c>
      <c r="C57" s="279">
        <f ca="1">ROUND(C51/C52,3)</f>
        <v>0.53200000000000003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D2" xr:uid="{00000000-0002-0000-1800-000000000000}">
      <formula1>"需扣减承租人权益,——"</formula1>
    </dataValidation>
    <dataValidation type="list" allowBlank="1" showInputMessage="1" showErrorMessage="1" sqref="G2" xr:uid="{00000000-0002-0000-1800-000001000000}">
      <formula1>估价方法</formula1>
    </dataValidation>
    <dataValidation type="list" allowBlank="1" showInputMessage="1" showErrorMessage="1" sqref="G9" xr:uid="{00000000-0002-0000-1800-000002000000}">
      <formula1>"部分缴纳,全部缴纳"</formula1>
    </dataValidation>
    <dataValidation type="list" allowBlank="1" showInputMessage="1" showErrorMessage="1" sqref="B1" xr:uid="{00000000-0002-0000-1800-000003000000}">
      <formula1>项目类型</formula1>
    </dataValidation>
    <dataValidation type="list" allowBlank="1" showInputMessage="1" showErrorMessage="1" sqref="G19" xr:uid="{00000000-0002-0000-1800-000004000000}">
      <formula1>"已包含在土地取得成本中,未包含在土地取得成本中"</formula1>
    </dataValidation>
    <dataValidation type="list" allowBlank="1" showInputMessage="1" showErrorMessage="1" sqref="G8" xr:uid="{00000000-0002-0000-1800-000005000000}">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AJ512"/>
  <sheetViews>
    <sheetView view="pageBreakPreview" zoomScale="80" zoomScaleNormal="100" zoomScaleSheetLayoutView="80" zoomScalePageLayoutView="80" workbookViewId="0">
      <selection activeCell="E22" sqref="E22"/>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1888</v>
      </c>
      <c r="B1" s="1902"/>
      <c r="C1" s="1903" t="s">
        <v>3137</v>
      </c>
      <c r="D1" s="1902"/>
      <c r="E1" s="1902"/>
      <c r="F1" s="1904" t="s">
        <v>1889</v>
      </c>
      <c r="G1" s="1715" t="s">
        <v>3240</v>
      </c>
      <c r="H1" s="1905" t="str">
        <f>IF(G1="现房","——","估价对象范围")</f>
        <v>——</v>
      </c>
      <c r="I1" s="1906" t="s">
        <v>3241</v>
      </c>
    </row>
    <row r="2" spans="1:12" ht="21.75" customHeight="1" thickBot="1">
      <c r="A2" s="3430" t="str">
        <f>项目基本情况!S2</f>
        <v>北京市房地产</v>
      </c>
      <c r="B2" s="3431"/>
      <c r="C2" s="3431"/>
      <c r="D2" s="3431"/>
      <c r="E2" s="3431"/>
      <c r="F2" s="3431"/>
      <c r="G2" s="3431"/>
      <c r="H2" s="3431"/>
      <c r="I2" s="3432"/>
    </row>
    <row r="3" spans="1:12" ht="12.75">
      <c r="A3" s="3434" t="s">
        <v>1890</v>
      </c>
      <c r="B3" s="3435"/>
      <c r="C3" s="3435"/>
      <c r="D3" s="3435"/>
      <c r="E3" s="3435"/>
      <c r="F3" s="3435"/>
      <c r="G3" s="3435"/>
      <c r="H3" s="3435"/>
      <c r="I3" s="3435"/>
    </row>
    <row r="4" spans="1:12" ht="14.25">
      <c r="A4" s="1909" t="s">
        <v>1891</v>
      </c>
      <c r="B4" s="1910" t="s">
        <v>1892</v>
      </c>
      <c r="C4" s="1911" t="s">
        <v>3146</v>
      </c>
      <c r="D4" s="1911" t="s">
        <v>3142</v>
      </c>
      <c r="E4" s="3436" t="s">
        <v>1893</v>
      </c>
      <c r="F4" s="3437"/>
      <c r="G4" s="3437"/>
      <c r="H4" s="3437"/>
      <c r="I4" s="3438"/>
      <c r="K4" s="150" t="str">
        <f>IF(ISNUMBER(FIND("比较法",'结果表-仓储'!C4)),"比较法",IF(ISNUMBER(FIND("成本法",'结果表-仓储'!C4)),"成本法",IF(ISNUMBER(FIND("假设开发法",'结果表-仓储'!C4)),"假设开发法",IF(ISNUMBER(FIND("收益法",'结果表-仓储'!C4)),"收益法","基准地价系数修正法"))))</f>
        <v>成本法</v>
      </c>
      <c r="L4" s="150"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410" t="s">
        <v>1894</v>
      </c>
      <c r="B5" s="3364">
        <v>25</v>
      </c>
      <c r="C5" s="3413">
        <v>70</v>
      </c>
      <c r="D5" s="3433">
        <f>100-C5</f>
        <v>30</v>
      </c>
      <c r="E5" s="136" t="s">
        <v>1895</v>
      </c>
      <c r="F5" s="1912"/>
      <c r="G5" s="1912"/>
      <c r="H5" s="1912"/>
      <c r="I5" s="1526"/>
    </row>
    <row r="6" spans="1:12" ht="12.75">
      <c r="A6" s="3410"/>
      <c r="B6" s="3364"/>
      <c r="C6" s="3414"/>
      <c r="D6" s="3433"/>
      <c r="E6" s="136" t="s">
        <v>1896</v>
      </c>
      <c r="F6" s="1912"/>
      <c r="G6" s="1912"/>
      <c r="H6" s="1912"/>
      <c r="I6" s="1526"/>
    </row>
    <row r="7" spans="1:12" ht="12.75">
      <c r="A7" s="3410"/>
      <c r="B7" s="3364"/>
      <c r="C7" s="3415"/>
      <c r="D7" s="3433"/>
      <c r="E7" s="136" t="s">
        <v>1897</v>
      </c>
      <c r="F7" s="1912"/>
      <c r="G7" s="1912"/>
      <c r="H7" s="1912"/>
      <c r="I7" s="1526"/>
    </row>
    <row r="8" spans="1:12" ht="12.75">
      <c r="A8" s="3410" t="s">
        <v>1898</v>
      </c>
      <c r="B8" s="3364">
        <v>15</v>
      </c>
      <c r="C8" s="3413"/>
      <c r="D8" s="3433"/>
      <c r="E8" s="136" t="s">
        <v>1899</v>
      </c>
      <c r="F8" s="1912"/>
      <c r="G8" s="1912"/>
      <c r="H8" s="1912"/>
      <c r="I8" s="1526"/>
    </row>
    <row r="9" spans="1:12" ht="12.75">
      <c r="A9" s="3410"/>
      <c r="B9" s="3364"/>
      <c r="C9" s="3415"/>
      <c r="D9" s="3433"/>
      <c r="E9" s="136" t="s">
        <v>1900</v>
      </c>
      <c r="F9" s="1912"/>
      <c r="G9" s="1912"/>
      <c r="H9" s="1912"/>
      <c r="I9" s="1526"/>
    </row>
    <row r="10" spans="1:12" ht="12.75">
      <c r="A10" s="3410" t="s">
        <v>1901</v>
      </c>
      <c r="B10" s="3364">
        <v>15</v>
      </c>
      <c r="C10" s="3413"/>
      <c r="D10" s="3433"/>
      <c r="E10" s="136" t="s">
        <v>1902</v>
      </c>
      <c r="F10" s="1912"/>
      <c r="G10" s="1912"/>
      <c r="H10" s="1912"/>
      <c r="I10" s="1526"/>
    </row>
    <row r="11" spans="1:12" ht="12.75">
      <c r="A11" s="3410"/>
      <c r="B11" s="3364"/>
      <c r="C11" s="3415"/>
      <c r="D11" s="3433"/>
      <c r="E11" s="136" t="s">
        <v>1903</v>
      </c>
      <c r="F11" s="1912"/>
      <c r="G11" s="1912"/>
      <c r="H11" s="1912"/>
      <c r="I11" s="1526"/>
    </row>
    <row r="12" spans="1:12" ht="12.75">
      <c r="A12" s="3410" t="s">
        <v>1904</v>
      </c>
      <c r="B12" s="3364">
        <v>15</v>
      </c>
      <c r="C12" s="3413"/>
      <c r="D12" s="3433"/>
      <c r="E12" s="136" t="s">
        <v>1905</v>
      </c>
      <c r="F12" s="1912"/>
      <c r="G12" s="1912"/>
      <c r="H12" s="1912"/>
      <c r="I12" s="1526"/>
    </row>
    <row r="13" spans="1:12" ht="12.75">
      <c r="A13" s="3410"/>
      <c r="B13" s="3364"/>
      <c r="C13" s="3415"/>
      <c r="D13" s="3433"/>
      <c r="E13" s="136" t="s">
        <v>1906</v>
      </c>
      <c r="F13" s="1912"/>
      <c r="G13" s="1912"/>
      <c r="H13" s="1912"/>
      <c r="I13" s="1526"/>
    </row>
    <row r="14" spans="1:12" ht="12.75">
      <c r="A14" s="3410" t="s">
        <v>1907</v>
      </c>
      <c r="B14" s="3364">
        <v>30</v>
      </c>
      <c r="C14" s="3413"/>
      <c r="D14" s="3433"/>
      <c r="E14" s="136" t="s">
        <v>1908</v>
      </c>
      <c r="F14" s="1912"/>
      <c r="G14" s="1912"/>
      <c r="H14" s="1912"/>
      <c r="I14" s="1526"/>
    </row>
    <row r="15" spans="1:12" ht="12.75">
      <c r="A15" s="3410"/>
      <c r="B15" s="3364"/>
      <c r="C15" s="3414"/>
      <c r="D15" s="3433"/>
      <c r="E15" s="136" t="s">
        <v>1909</v>
      </c>
      <c r="F15" s="1912"/>
      <c r="G15" s="1912"/>
      <c r="H15" s="1912"/>
      <c r="I15" s="1526"/>
    </row>
    <row r="16" spans="1:12" ht="12.75">
      <c r="A16" s="3410"/>
      <c r="B16" s="3364"/>
      <c r="C16" s="3415"/>
      <c r="D16" s="3433"/>
      <c r="E16" s="136" t="s">
        <v>1910</v>
      </c>
      <c r="F16" s="1912"/>
      <c r="G16" s="1912"/>
      <c r="H16" s="1912"/>
      <c r="I16" s="1526"/>
    </row>
    <row r="17" spans="1:36" ht="15">
      <c r="A17" s="1913" t="s">
        <v>1911</v>
      </c>
      <c r="B17" s="60"/>
      <c r="C17" s="137">
        <f>SUM(C5:C16)</f>
        <v>70</v>
      </c>
      <c r="D17" s="137">
        <f>SUM(D5:D16)</f>
        <v>30</v>
      </c>
      <c r="E17" s="134"/>
      <c r="F17" s="134"/>
      <c r="G17" s="134"/>
      <c r="H17" s="134"/>
      <c r="I17" s="134"/>
      <c r="K17" s="307"/>
      <c r="L17" s="307" t="s">
        <v>1912</v>
      </c>
      <c r="M17" s="307" t="s">
        <v>1913</v>
      </c>
    </row>
    <row r="18" spans="1:36" ht="31.9" customHeight="1" thickBot="1">
      <c r="A18" s="1914" t="s">
        <v>1914</v>
      </c>
      <c r="B18" s="1915"/>
      <c r="C18" s="138">
        <f>ROUND(C17/SUM(C17:D17),2)</f>
        <v>0.7</v>
      </c>
      <c r="D18" s="138">
        <f>1-C18</f>
        <v>0.30000000000000004</v>
      </c>
      <c r="E18" s="3420" t="s">
        <v>2811</v>
      </c>
      <c r="F18" s="3421"/>
      <c r="G18" s="3421"/>
      <c r="H18" s="3421"/>
      <c r="I18" s="3421"/>
      <c r="K18" s="307" t="s">
        <v>1915</v>
      </c>
      <c r="L18" s="307">
        <f>IF(C1="",'数据-汇总表'!E3,SUMIF(项目类型,C1,'数据-汇总表'!E17:E26)+SUMIF(项目类型,C1,'数据-汇总表'!I17:I26))</f>
        <v>9034.9699999999993</v>
      </c>
      <c r="M18" s="307">
        <f>IF(C1="",'数据-汇总表'!E3,SUMIF(项目类型,C1,'数据-汇总表'!E17:E26))</f>
        <v>9034.9699999999993</v>
      </c>
    </row>
    <row r="19" spans="1:36" ht="15">
      <c r="A19" s="1916" t="s">
        <v>1916</v>
      </c>
      <c r="B19" s="1917" t="s">
        <v>1917</v>
      </c>
      <c r="C19" s="139">
        <f ca="1">SUMIF(INDIRECT("'"&amp;C4&amp;"'"&amp;"!A:A"),'结果表-仓储'!B19,INDIRECT("'"&amp;C4&amp;"'"&amp;"!B:B"))</f>
        <v>8949</v>
      </c>
      <c r="D19" s="140">
        <f ca="1">SUMIF(INDIRECT("'"&amp;D4&amp;"'"&amp;"!A:A"),'结果表-仓储'!B19,INDIRECT("'"&amp;D4&amp;"'"&amp;"!B:B"))</f>
        <v>5434</v>
      </c>
      <c r="E19" s="1916" t="s">
        <v>1918</v>
      </c>
      <c r="F19" s="1917" t="s">
        <v>1917</v>
      </c>
      <c r="G19" s="141">
        <f ca="1">ROUND(C19*$C$18+D19*$D$18,0)</f>
        <v>7895</v>
      </c>
      <c r="H19" s="1918" t="s">
        <v>1919</v>
      </c>
      <c r="I19" s="134"/>
      <c r="K19" s="307" t="s">
        <v>1920</v>
      </c>
      <c r="L19" s="307">
        <f>IF(C1="",'数据-汇总表'!D3,SUMIF(项目类型,C1,'数据-汇总表'!D17:D26)+SUMIF(项目类型,C1,'数据-汇总表'!H17:H27))</f>
        <v>4681.33</v>
      </c>
      <c r="M19" s="307">
        <f>IF(C1="",'数据-汇总表'!D3,SUMIF(项目类型,C1,'数据-汇总表'!D17:D26))</f>
        <v>4681.33</v>
      </c>
    </row>
    <row r="20" spans="1:36" ht="15">
      <c r="A20" s="1919"/>
      <c r="B20" s="1156" t="s">
        <v>1921</v>
      </c>
      <c r="C20" s="142">
        <f ca="1">SUMIF(INDIRECT("'"&amp;C4&amp;"'"&amp;"!A:A"),'结果表-仓储'!B20,INDIRECT("'"&amp;C4&amp;"'"&amp;"!B:B"))</f>
        <v>9905</v>
      </c>
      <c r="D20" s="143">
        <f ca="1">SUMIF(INDIRECT("'"&amp;D4&amp;"'"&amp;"!A:A"),'结果表-仓储'!B20,INDIRECT("'"&amp;D4&amp;"'"&amp;"!B:B"))</f>
        <v>6014</v>
      </c>
      <c r="E20" s="1919"/>
      <c r="F20" s="1156" t="s">
        <v>1921</v>
      </c>
      <c r="G20" s="3252">
        <f ca="1">ROUND(C20*$C$18+D20*$D$18,0)</f>
        <v>8738</v>
      </c>
      <c r="H20" s="916" t="s">
        <v>1922</v>
      </c>
      <c r="I20" s="1903">
        <f ca="1">G20*面积表!J20/10000</f>
        <v>16.797354863829785</v>
      </c>
      <c r="J20" s="3253" t="s">
        <v>3245</v>
      </c>
    </row>
    <row r="21" spans="1:36" ht="15" customHeight="1" thickBot="1">
      <c r="A21" s="936"/>
      <c r="B21" s="1920" t="s">
        <v>1923</v>
      </c>
      <c r="C21" s="727">
        <f ca="1">ROUND(C19*10000/L19,0)</f>
        <v>19116</v>
      </c>
      <c r="D21" s="728">
        <f ca="1">ROUND(D19*10000/L19,0)</f>
        <v>11608</v>
      </c>
      <c r="E21" s="936"/>
      <c r="F21" s="1920" t="s">
        <v>1923</v>
      </c>
      <c r="G21" s="144">
        <f ca="1">ROUND(G19*10000/L19,0)</f>
        <v>16865</v>
      </c>
      <c r="H21" s="1921" t="s">
        <v>1922</v>
      </c>
      <c r="I21" s="134"/>
    </row>
    <row r="22" spans="1:36" ht="15" thickBot="1">
      <c r="A22" s="1843" t="s">
        <v>1924</v>
      </c>
      <c r="B22" s="1922"/>
      <c r="C22" s="1923"/>
      <c r="D22" s="729">
        <f ca="1">IF(C19&lt;D19,D19/C19-1,C19/D19-1)</f>
        <v>0.64685314685314688</v>
      </c>
      <c r="E22" s="134"/>
      <c r="F22" s="134"/>
      <c r="G22" s="134"/>
      <c r="H22" s="134"/>
      <c r="I22" s="134"/>
    </row>
    <row r="23" spans="1:36" ht="13.5" thickBot="1">
      <c r="A23" s="1902"/>
      <c r="B23" s="1902"/>
      <c r="C23" s="1902"/>
      <c r="D23" s="1902"/>
      <c r="E23" s="134"/>
      <c r="F23" s="134"/>
      <c r="G23" s="134"/>
      <c r="H23" s="134"/>
      <c r="I23" s="134"/>
    </row>
    <row r="24" spans="1:36" ht="14.25">
      <c r="A24" s="3404" t="s">
        <v>1925</v>
      </c>
      <c r="B24" s="1917" t="s">
        <v>1917</v>
      </c>
      <c r="C24" s="141">
        <f>IF(B30=0,0,D30)</f>
        <v>0</v>
      </c>
      <c r="D24" s="1924"/>
      <c r="E24" s="134"/>
      <c r="F24" s="134"/>
      <c r="G24" s="134"/>
      <c r="H24" s="134"/>
      <c r="I24" s="134"/>
    </row>
    <row r="25" spans="1:36" ht="14.25">
      <c r="A25" s="3405"/>
      <c r="B25" s="1156" t="s">
        <v>1921</v>
      </c>
      <c r="C25" s="145">
        <f>IF(B30=0,0,C30)</f>
        <v>0</v>
      </c>
      <c r="D25" s="1925"/>
      <c r="E25" s="134"/>
      <c r="F25" s="134"/>
      <c r="G25" s="134"/>
      <c r="H25" s="134"/>
      <c r="I25" s="134"/>
    </row>
    <row r="26" spans="1:36" ht="13.5" customHeight="1">
      <c r="A26" s="1926" t="s">
        <v>1926</v>
      </c>
      <c r="B26" s="146" t="s">
        <v>1927</v>
      </c>
      <c r="C26" s="146" t="s">
        <v>1928</v>
      </c>
      <c r="D26" s="147" t="s">
        <v>1929</v>
      </c>
      <c r="E26" s="134"/>
      <c r="F26" s="134"/>
      <c r="G26" s="134"/>
      <c r="H26" s="134"/>
      <c r="I26" s="134"/>
    </row>
    <row r="27" spans="1:36" ht="14.25">
      <c r="A27" s="1926"/>
      <c r="B27" s="146">
        <v>0</v>
      </c>
      <c r="C27" s="146">
        <v>0</v>
      </c>
      <c r="D27" s="147">
        <f>ROUND(C27*B27/10000,0)</f>
        <v>0</v>
      </c>
      <c r="E27" s="134"/>
      <c r="F27" s="134"/>
      <c r="G27" s="134"/>
      <c r="H27" s="134"/>
      <c r="I27" s="134"/>
    </row>
    <row r="28" spans="1:36" ht="14.25">
      <c r="A28" s="1926"/>
      <c r="B28" s="146"/>
      <c r="C28" s="146"/>
      <c r="D28" s="147"/>
      <c r="E28" s="134"/>
      <c r="F28" s="134"/>
      <c r="G28" s="134"/>
      <c r="H28" s="134"/>
      <c r="I28" s="134"/>
    </row>
    <row r="29" spans="1:36" ht="14.25">
      <c r="A29" s="1926"/>
      <c r="B29" s="146"/>
      <c r="C29" s="146"/>
      <c r="D29" s="147"/>
      <c r="E29" s="134"/>
      <c r="F29" s="134"/>
      <c r="G29" s="134"/>
      <c r="H29" s="134"/>
      <c r="I29" s="134"/>
    </row>
    <row r="30" spans="1:36" ht="15" thickBot="1">
      <c r="A30" s="146" t="s">
        <v>1930</v>
      </c>
      <c r="B30" s="146"/>
      <c r="C30" s="146"/>
      <c r="D30" s="146"/>
      <c r="E30" s="2490" t="s">
        <v>2812</v>
      </c>
      <c r="F30" s="134"/>
      <c r="G30" s="134"/>
      <c r="H30" s="134"/>
      <c r="I30" s="134"/>
    </row>
    <row r="31" spans="1:36" s="2496" customFormat="1" ht="26.45" customHeight="1" thickTop="1" thickBot="1">
      <c r="A31" s="2491"/>
      <c r="B31" s="2492"/>
      <c r="C31" s="2492"/>
      <c r="D31" s="2492"/>
      <c r="E31" s="2492"/>
      <c r="F31" s="2492"/>
      <c r="G31" s="2492"/>
      <c r="H31" s="2492"/>
      <c r="I31" s="2493" t="s">
        <v>2813</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8">
        <f ca="1">IF(D32="总价",G19-C24,G20-C25)</f>
        <v>8738</v>
      </c>
      <c r="D32" s="1930"/>
      <c r="E32" s="134"/>
      <c r="F32" s="134"/>
      <c r="G32" s="134"/>
      <c r="H32" s="134"/>
      <c r="I32" s="134"/>
    </row>
    <row r="33" spans="1:15" ht="15">
      <c r="A33" s="893" t="s">
        <v>1932</v>
      </c>
      <c r="B33" s="1931"/>
      <c r="C33" s="1932"/>
      <c r="D33" s="1933"/>
      <c r="E33" s="1934" t="s">
        <v>1933</v>
      </c>
      <c r="F33" s="1935" t="str">
        <f>IF(D32="楼面单价","取值（单价）","取值（总价）")</f>
        <v>取值（总价）</v>
      </c>
      <c r="G33" s="134"/>
      <c r="H33" s="134"/>
      <c r="I33" s="134"/>
    </row>
    <row r="34" spans="1:15" ht="15">
      <c r="A34" s="1936"/>
      <c r="B34" s="1937" t="s">
        <v>1934</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1935</v>
      </c>
      <c r="F34" s="1469"/>
      <c r="G34" s="134"/>
      <c r="H34" s="134"/>
      <c r="I34" s="134"/>
    </row>
    <row r="35" spans="1:15" ht="15.75" thickBot="1">
      <c r="A35" s="1939"/>
      <c r="B35" s="1940" t="s">
        <v>1936</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1937</v>
      </c>
      <c r="F35" s="158"/>
      <c r="G35" s="134"/>
      <c r="H35" s="134"/>
      <c r="I35" s="134"/>
    </row>
    <row r="36" spans="1:15" ht="15.75" thickBot="1">
      <c r="A36" s="3424" t="s">
        <v>1938</v>
      </c>
      <c r="B36" s="1942" t="s">
        <v>1939</v>
      </c>
      <c r="C36" s="149"/>
      <c r="D36" s="1943"/>
      <c r="E36" s="1944"/>
      <c r="F36" s="1945"/>
      <c r="G36" s="134"/>
      <c r="H36" s="134"/>
      <c r="I36" s="134"/>
    </row>
    <row r="37" spans="1:15" ht="15.75" thickBot="1">
      <c r="A37" s="3425"/>
      <c r="B37" s="1829" t="s">
        <v>1940</v>
      </c>
      <c r="C37" s="151"/>
      <c r="D37" s="1272"/>
      <c r="E37" s="1272"/>
      <c r="F37" s="1945"/>
      <c r="G37" s="134"/>
      <c r="H37" s="134"/>
      <c r="I37" s="134"/>
    </row>
    <row r="38" spans="1:15" ht="15.75" thickBot="1">
      <c r="A38" s="3426"/>
      <c r="B38" s="1946" t="s">
        <v>1941</v>
      </c>
      <c r="C38" s="682"/>
      <c r="D38" s="1947" t="s">
        <v>1942</v>
      </c>
      <c r="E38" s="1272"/>
      <c r="F38" s="1945"/>
      <c r="G38" s="134"/>
      <c r="H38" s="134"/>
      <c r="I38" s="134"/>
    </row>
    <row r="39" spans="1:15" ht="15">
      <c r="A39" s="1919" t="s">
        <v>1943</v>
      </c>
      <c r="B39" s="1948" t="s">
        <v>1927</v>
      </c>
      <c r="C39" s="1949" t="s">
        <v>1928</v>
      </c>
      <c r="D39" s="1949" t="s">
        <v>1946</v>
      </c>
      <c r="E39" s="1950" t="s">
        <v>1929</v>
      </c>
      <c r="F39" s="1945"/>
      <c r="G39" s="134"/>
      <c r="H39" s="134"/>
      <c r="I39" s="134"/>
    </row>
    <row r="40" spans="1:15" ht="14.25">
      <c r="A40" s="1951" t="s">
        <v>1948</v>
      </c>
      <c r="B40" s="153"/>
      <c r="C40" s="154"/>
      <c r="D40" s="154"/>
      <c r="E40" s="155"/>
      <c r="F40" s="1945"/>
      <c r="G40" s="134"/>
      <c r="H40" s="134"/>
      <c r="I40" s="134"/>
    </row>
    <row r="41" spans="1:15" ht="14.25">
      <c r="A41" s="1951" t="s">
        <v>1949</v>
      </c>
      <c r="B41" s="153"/>
      <c r="C41" s="154"/>
      <c r="D41" s="154"/>
      <c r="E41" s="155"/>
      <c r="F41" s="1945"/>
      <c r="G41" s="134"/>
      <c r="H41" s="134"/>
      <c r="I41" s="134"/>
    </row>
    <row r="42" spans="1:15" ht="15" thickBot="1">
      <c r="A42" s="1952"/>
      <c r="B42" s="156"/>
      <c r="C42" s="157"/>
      <c r="D42" s="157"/>
      <c r="E42" s="158"/>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01" t="s">
        <v>1952</v>
      </c>
      <c r="B45" s="3402"/>
      <c r="C45" s="3403"/>
      <c r="D45" s="159" t="e">
        <f ca="1">ROUND(H101*F45,0)</f>
        <v>#REF!</v>
      </c>
      <c r="E45" s="160" t="s">
        <v>1953</v>
      </c>
      <c r="F45" s="161">
        <v>1</v>
      </c>
      <c r="G45" s="162" t="s">
        <v>1954</v>
      </c>
      <c r="H45" s="134"/>
      <c r="I45" s="134"/>
      <c r="J45" s="3482" t="s">
        <v>1955</v>
      </c>
      <c r="K45" s="3482"/>
      <c r="L45" s="3482"/>
      <c r="M45" s="3482"/>
      <c r="N45" s="3482"/>
      <c r="O45" s="3482"/>
    </row>
    <row r="46" spans="1:15" ht="14.25" customHeight="1">
      <c r="A46" s="3398" t="s">
        <v>1956</v>
      </c>
      <c r="B46" s="3399"/>
      <c r="C46" s="3399"/>
      <c r="D46" s="3399"/>
      <c r="E46" s="3399"/>
      <c r="F46" s="3399"/>
      <c r="G46" s="3400"/>
      <c r="H46" s="1961"/>
      <c r="I46" s="163"/>
      <c r="J46" s="3215">
        <v>1</v>
      </c>
      <c r="K46" s="3463" t="s">
        <v>1957</v>
      </c>
      <c r="L46" s="3463"/>
      <c r="M46" s="3483"/>
      <c r="N46" s="3483"/>
      <c r="O46" s="3483"/>
    </row>
    <row r="47" spans="1:15" ht="12" customHeight="1">
      <c r="A47" s="164" t="s">
        <v>1958</v>
      </c>
      <c r="B47" s="165"/>
      <c r="C47" s="166"/>
      <c r="D47" s="1218" t="s">
        <v>1959</v>
      </c>
      <c r="E47" s="307" t="s">
        <v>1960</v>
      </c>
      <c r="F47" s="167" t="s">
        <v>1961</v>
      </c>
      <c r="G47" s="2741" t="s">
        <v>1962</v>
      </c>
      <c r="H47" s="2742"/>
      <c r="I47" s="163"/>
      <c r="J47" s="3215">
        <v>2</v>
      </c>
      <c r="K47" s="3463" t="s">
        <v>1963</v>
      </c>
      <c r="L47" s="3463"/>
      <c r="M47" s="3484">
        <f>'数据-取费表'!B2</f>
        <v>44617</v>
      </c>
      <c r="N47" s="3484"/>
      <c r="O47" s="3484"/>
    </row>
    <row r="48" spans="1:15" ht="25.5">
      <c r="A48" s="3429" t="s">
        <v>1964</v>
      </c>
      <c r="B48" s="3412"/>
      <c r="C48" s="3412"/>
      <c r="D48" s="3210" t="b">
        <f>IF(H48="情况1",0,IF(H48="情况2",D52,IF(H48="情况3",D53,IF(H48="情况4",D54))))</f>
        <v>0</v>
      </c>
      <c r="E48" s="3225" t="str">
        <f>IF(H48="情况4","(销售额-原购置价)×税（费）率","销售额×税（费）率")</f>
        <v>销售额×税（费）率</v>
      </c>
      <c r="F48" s="2743">
        <f>IF(H48="情况1","免征",'数据-取费表'!B41)</f>
        <v>5.5000000000000007E-2</v>
      </c>
      <c r="G48" s="2744" t="s">
        <v>1965</v>
      </c>
      <c r="H48" s="2745"/>
      <c r="I48" s="1961"/>
      <c r="J48" s="3215">
        <v>3</v>
      </c>
      <c r="K48" s="3463" t="s">
        <v>1966</v>
      </c>
      <c r="L48" s="3463"/>
      <c r="M48" s="3485" t="e">
        <f ca="1">H101</f>
        <v>#REF!</v>
      </c>
      <c r="N48" s="3485"/>
      <c r="O48" s="3485"/>
    </row>
    <row r="49" spans="1:35" ht="25.5" customHeight="1">
      <c r="A49" s="3224" t="s">
        <v>1967</v>
      </c>
      <c r="B49" s="3397" t="s">
        <v>1968</v>
      </c>
      <c r="C49" s="3397"/>
      <c r="D49" s="1744">
        <v>0</v>
      </c>
      <c r="E49" s="329" t="s">
        <v>1969</v>
      </c>
      <c r="F49" s="3208" t="s">
        <v>34</v>
      </c>
      <c r="G49" s="3469"/>
      <c r="H49" s="2497" t="s">
        <v>2814</v>
      </c>
      <c r="I49" s="2498"/>
      <c r="J49" s="3215">
        <v>4</v>
      </c>
      <c r="K49" s="3463" t="str">
        <f>IF(项目基本情况!E8="房地产抵押价值","房地产抵押价值","抵押担保权已注销时的房地产抵押价值")</f>
        <v>抵押担保权已注销时的房地产抵押价值</v>
      </c>
      <c r="L49" s="3463"/>
      <c r="M49" s="3485" t="str">
        <f>IF(项目基本情况!E8="房地产抵押价值",H107,H109)</f>
        <v>——</v>
      </c>
      <c r="N49" s="3485"/>
      <c r="O49" s="3485"/>
    </row>
    <row r="50" spans="1:35" ht="25.5" customHeight="1">
      <c r="A50" s="2746"/>
      <c r="B50" s="3397" t="s">
        <v>1970</v>
      </c>
      <c r="C50" s="3397"/>
      <c r="D50" s="2747"/>
      <c r="E50" s="337"/>
      <c r="F50" s="3208"/>
      <c r="G50" s="3470"/>
      <c r="H50" s="2499" t="s">
        <v>2815</v>
      </c>
      <c r="I50" s="2498"/>
      <c r="J50" s="3482" t="s">
        <v>1971</v>
      </c>
      <c r="K50" s="3482"/>
      <c r="L50" s="3482"/>
      <c r="M50" s="3482"/>
      <c r="N50" s="3482"/>
      <c r="O50" s="3482"/>
    </row>
    <row r="51" spans="1:35" ht="20.45" customHeight="1">
      <c r="A51" s="2748"/>
      <c r="B51" s="3397" t="s">
        <v>1972</v>
      </c>
      <c r="C51" s="3397"/>
      <c r="D51" s="1218"/>
      <c r="E51" s="332"/>
      <c r="F51" s="3208"/>
      <c r="G51" s="3471"/>
      <c r="H51" s="2499" t="s">
        <v>2816</v>
      </c>
      <c r="I51" s="2498"/>
      <c r="J51" s="3209" t="s">
        <v>1973</v>
      </c>
      <c r="K51" s="3463" t="s">
        <v>1974</v>
      </c>
      <c r="L51" s="3463"/>
      <c r="M51" s="3209" t="s">
        <v>1975</v>
      </c>
      <c r="N51" s="3209" t="s">
        <v>1976</v>
      </c>
      <c r="O51" s="3209" t="s">
        <v>1977</v>
      </c>
    </row>
    <row r="52" spans="1:35" ht="24" customHeight="1">
      <c r="A52" s="3227" t="s">
        <v>1978</v>
      </c>
      <c r="B52" s="3397" t="s">
        <v>1979</v>
      </c>
      <c r="C52" s="3397"/>
      <c r="D52" s="1218" t="e">
        <f ca="1">ROUND(D45*'数据-取费表'!B41/(1+'数据-取费表'!C42),0)</f>
        <v>#REF!</v>
      </c>
      <c r="E52" s="3225" t="s">
        <v>1980</v>
      </c>
      <c r="F52" s="2749">
        <f>'数据-取费表'!B41</f>
        <v>5.5000000000000007E-2</v>
      </c>
      <c r="G52" s="2750"/>
      <c r="H52" s="2739"/>
      <c r="I52" s="1962"/>
      <c r="J52" s="3215">
        <v>1</v>
      </c>
      <c r="K52" s="3464" t="s">
        <v>1981</v>
      </c>
      <c r="L52" s="3464"/>
      <c r="M52" s="2720" t="b">
        <f>D48</f>
        <v>0</v>
      </c>
      <c r="N52" s="3215" t="str">
        <f>E48</f>
        <v>销售额×税（费）率</v>
      </c>
      <c r="O52" s="2721">
        <f>F48</f>
        <v>5.5000000000000007E-2</v>
      </c>
    </row>
    <row r="53" spans="1:35" ht="12" customHeight="1">
      <c r="A53" s="3227" t="s">
        <v>1982</v>
      </c>
      <c r="B53" s="3422" t="s">
        <v>2975</v>
      </c>
      <c r="C53" s="3423"/>
      <c r="D53" s="1218" t="e">
        <f ca="1">ROUND(D45*'数据-取费表'!B41/(1+'数据-取费表'!C42),0)</f>
        <v>#REF!</v>
      </c>
      <c r="E53" s="3225" t="s">
        <v>1980</v>
      </c>
      <c r="F53" s="2749">
        <f>'数据-取费表'!B41</f>
        <v>5.5000000000000007E-2</v>
      </c>
      <c r="G53" s="2750"/>
      <c r="H53" s="2739"/>
      <c r="I53" s="1962"/>
      <c r="J53" s="3215">
        <v>2</v>
      </c>
      <c r="K53" s="3464" t="s">
        <v>1983</v>
      </c>
      <c r="L53" s="3464"/>
      <c r="M53" s="2720" t="e">
        <f t="shared" ref="M53:O54" ca="1" si="0">D55</f>
        <v>#REF!</v>
      </c>
      <c r="N53" s="3215" t="str">
        <f t="shared" si="0"/>
        <v>销售额×税（费）率</v>
      </c>
      <c r="O53" s="2721" t="str">
        <f t="shared" si="0"/>
        <v>免征</v>
      </c>
    </row>
    <row r="54" spans="1:35" ht="12" customHeight="1">
      <c r="A54" s="3227" t="s">
        <v>1984</v>
      </c>
      <c r="B54" s="3422" t="s">
        <v>2976</v>
      </c>
      <c r="C54" s="3423"/>
      <c r="D54" s="1218" t="e">
        <f ca="1">C68</f>
        <v>#REF!</v>
      </c>
      <c r="E54" s="332" t="s">
        <v>1985</v>
      </c>
      <c r="F54" s="2749">
        <f>'数据-取费表'!B41</f>
        <v>5.5000000000000007E-2</v>
      </c>
      <c r="G54" s="2750"/>
      <c r="H54" s="2751"/>
      <c r="I54" s="1962"/>
      <c r="J54" s="3215">
        <v>3</v>
      </c>
      <c r="K54" s="3464" t="s">
        <v>1986</v>
      </c>
      <c r="L54" s="3464"/>
      <c r="M54" s="2720" t="e">
        <f t="shared" ca="1" si="0"/>
        <v>#REF!</v>
      </c>
      <c r="N54" s="3215" t="str">
        <f t="shared" si="0"/>
        <v>增值额×税（费）率</v>
      </c>
      <c r="O54" s="2722" t="str">
        <f t="shared" si="0"/>
        <v>免征</v>
      </c>
    </row>
    <row r="55" spans="1:35" ht="24" customHeight="1">
      <c r="A55" s="3411" t="s">
        <v>1987</v>
      </c>
      <c r="B55" s="3412"/>
      <c r="C55" s="3412"/>
      <c r="D55" s="3210" t="e">
        <f ca="1">IF(H55="个人住宅",0,ROUND(D45*I55,0))</f>
        <v>#REF!</v>
      </c>
      <c r="E55" s="3225" t="s">
        <v>1988</v>
      </c>
      <c r="F55" s="2749" t="str">
        <f>IF(H55="正常",I55,"免征")</f>
        <v>免征</v>
      </c>
      <c r="G55" s="2750"/>
      <c r="H55" s="2745"/>
      <c r="I55" s="169">
        <f>'数据-取费表'!B49</f>
        <v>5.0000000000000001E-4</v>
      </c>
      <c r="J55" s="3215">
        <f>IF(H59="非个人房产","",4)</f>
        <v>4</v>
      </c>
      <c r="K55" s="3464" t="str">
        <f>IF(H59="非个人房产","——","个人所得税")</f>
        <v>个人所得税</v>
      </c>
      <c r="L55" s="3464"/>
      <c r="M55" s="2723" t="e">
        <f ca="1">D59</f>
        <v>#REF!</v>
      </c>
      <c r="N55" s="3216" t="str">
        <f>E59</f>
        <v>差额计税</v>
      </c>
      <c r="O55" s="2724">
        <f>F59</f>
        <v>0.01</v>
      </c>
    </row>
    <row r="56" spans="1:35" ht="24.75">
      <c r="A56" s="3411" t="s">
        <v>1989</v>
      </c>
      <c r="B56" s="3412"/>
      <c r="C56" s="3412"/>
      <c r="D56" s="3210" t="e">
        <f ca="1">IF(H56="个人住宅",D57,D58)</f>
        <v>#REF!</v>
      </c>
      <c r="E56" s="3225" t="s">
        <v>1990</v>
      </c>
      <c r="F56" s="2749" t="str">
        <f>IF(H56="正常",F58,"免征")</f>
        <v>免征</v>
      </c>
      <c r="G56" s="2752" t="s">
        <v>1991</v>
      </c>
      <c r="H56" s="2753"/>
      <c r="I56" s="1963"/>
      <c r="J56" s="3215" t="str">
        <f>IF(项目基本情况!K6="上海银行",IF(J55="",4,J55+1),"")</f>
        <v/>
      </c>
      <c r="K56" s="3487" t="str">
        <f>IF(项目基本情况!K6="上海银行","其他处置费用","")</f>
        <v/>
      </c>
      <c r="L56" s="3488"/>
      <c r="M56" s="2720" t="str">
        <f>IF(项目基本情况!K6="上海银行",M69,"")</f>
        <v/>
      </c>
      <c r="N56" s="3487" t="str">
        <f>IF(项目基本情况!K6="上海银行","包含处置中涉及的律师、诉讼、拍卖、评估等费用","")</f>
        <v/>
      </c>
      <c r="O56" s="3490"/>
    </row>
    <row r="57" spans="1:35" ht="12.75">
      <c r="A57" s="3227" t="s">
        <v>1967</v>
      </c>
      <c r="B57" s="3422" t="s">
        <v>1992</v>
      </c>
      <c r="C57" s="3423"/>
      <c r="D57" s="1744">
        <v>0</v>
      </c>
      <c r="E57" s="329" t="s">
        <v>1969</v>
      </c>
      <c r="F57" s="307"/>
      <c r="G57" s="2750"/>
      <c r="H57" s="2754"/>
      <c r="I57" s="1963"/>
      <c r="J57" s="3464">
        <f>IF(AND(J55="",J56=""),4,IF(项目基本情况!K6="上海银行",'结果表-仓储'!J56+1,'结果表-仓储'!J55+1))</f>
        <v>5</v>
      </c>
      <c r="K57" s="3464" t="s">
        <v>1993</v>
      </c>
      <c r="L57" s="2725" t="s">
        <v>1994</v>
      </c>
      <c r="M57" s="2726"/>
      <c r="N57" s="2727">
        <f ca="1">SUMIF(M52:M56,"&lt;9e307")</f>
        <v>0</v>
      </c>
      <c r="O57" s="2728"/>
      <c r="P57" s="2888" t="e">
        <f ca="1">N57/M49</f>
        <v>#VALUE!</v>
      </c>
    </row>
    <row r="58" spans="1:35" ht="24.75">
      <c r="A58" s="3227" t="s">
        <v>1978</v>
      </c>
      <c r="B58" s="3422" t="s">
        <v>1995</v>
      </c>
      <c r="C58" s="3397"/>
      <c r="D58" s="3210" t="e">
        <f ca="1">IF(H58="转让取得",C81,C97)</f>
        <v>#REF!</v>
      </c>
      <c r="E58" s="3225" t="s">
        <v>1990</v>
      </c>
      <c r="F58" s="307" t="s">
        <v>34</v>
      </c>
      <c r="G58" s="2750"/>
      <c r="H58" s="2753"/>
      <c r="I58" s="1963"/>
      <c r="J58" s="3464"/>
      <c r="K58" s="3464"/>
      <c r="L58" s="2725" t="s">
        <v>1996</v>
      </c>
      <c r="M58" s="2729"/>
      <c r="N58" s="2730" t="str">
        <f ca="1">NUMBERSTRING(INT(N57*10000),2)&amp;"元整"</f>
        <v>零元整</v>
      </c>
      <c r="O58" s="2731"/>
    </row>
    <row r="59" spans="1:35" ht="24.75" thickBot="1">
      <c r="A59" s="3467" t="s">
        <v>1997</v>
      </c>
      <c r="B59" s="3468"/>
      <c r="C59" s="3468"/>
      <c r="D59" s="2755" t="e">
        <f ca="1">IF(H59="非个人房产","——",IF(H59="个人住宅（满五唯一有凭证）",0,IF(H59="个人其他（无凭证）",ROUND(D45*F59,0),ROUND(C67*F59,0))))</f>
        <v>#REF!</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2817</v>
      </c>
      <c r="J59" s="3465">
        <f>J57+1</f>
        <v>6</v>
      </c>
      <c r="K59" s="3464" t="s">
        <v>1998</v>
      </c>
      <c r="L59" s="3215" t="s">
        <v>1994</v>
      </c>
      <c r="M59" s="2732"/>
      <c r="N59" s="2733" t="e">
        <f ca="1">M49-N57</f>
        <v>#VALUE!</v>
      </c>
      <c r="O59" s="2734"/>
    </row>
    <row r="60" spans="1:35" ht="12" customHeight="1">
      <c r="A60" s="1964"/>
      <c r="B60" s="1902"/>
      <c r="C60" s="1902"/>
      <c r="D60" s="1902"/>
      <c r="E60" s="1732"/>
      <c r="F60" s="1963"/>
      <c r="G60" s="1963"/>
      <c r="H60" s="1965"/>
      <c r="I60" s="134"/>
      <c r="J60" s="3466"/>
      <c r="K60" s="3464"/>
      <c r="L60" s="2725" t="s">
        <v>1996</v>
      </c>
      <c r="M60" s="2729"/>
      <c r="N60" s="2730" t="e">
        <f ca="1">NUMBERSTRING(INT(N59*10000),2)&amp;"元整"</f>
        <v>#VALUE!</v>
      </c>
      <c r="O60" s="2731"/>
    </row>
    <row r="61" spans="1:35" ht="13.5" thickBot="1">
      <c r="A61" s="3409" t="s">
        <v>1999</v>
      </c>
      <c r="B61" s="3409"/>
      <c r="C61" s="3409"/>
      <c r="D61" s="3409"/>
      <c r="E61" s="3409"/>
      <c r="F61" s="1963"/>
      <c r="G61" s="1963"/>
      <c r="H61" s="1965"/>
      <c r="I61" s="134"/>
      <c r="J61" s="3215">
        <f>J59+1</f>
        <v>7</v>
      </c>
      <c r="K61" s="3464" t="s">
        <v>2000</v>
      </c>
      <c r="L61" s="3464"/>
      <c r="M61" s="2735"/>
      <c r="N61" s="2736" t="e">
        <f ca="1">ROUND(N59*10000/'数据-汇总表'!E3,0)</f>
        <v>#VALUE!</v>
      </c>
      <c r="O61" s="2737"/>
    </row>
    <row r="62" spans="1:35" ht="12.75">
      <c r="A62" s="3427" t="s">
        <v>2001</v>
      </c>
      <c r="B62" s="3428"/>
      <c r="C62" s="3220"/>
      <c r="D62" s="3220" t="s">
        <v>2002</v>
      </c>
      <c r="E62" s="170" t="s">
        <v>2003</v>
      </c>
      <c r="F62" s="1963"/>
      <c r="G62" s="1963"/>
      <c r="H62" s="1965"/>
      <c r="I62" s="134"/>
    </row>
    <row r="63" spans="1:35" ht="12.75">
      <c r="A63" s="177" t="s">
        <v>775</v>
      </c>
      <c r="B63" s="171" t="s">
        <v>2004</v>
      </c>
      <c r="C63" s="2759" t="e">
        <f ca="1">ROUND((C64+C65)/(1+'数据-取费表'!C42),0)</f>
        <v>#REF!</v>
      </c>
      <c r="D63" s="171"/>
      <c r="E63" s="172"/>
      <c r="F63" s="1963"/>
      <c r="G63" s="1963"/>
      <c r="H63" s="1965"/>
      <c r="I63" s="134"/>
      <c r="J63" s="3489" t="s">
        <v>2005</v>
      </c>
      <c r="K63" s="3211" t="s">
        <v>2006</v>
      </c>
      <c r="L63" s="3211" t="e">
        <f>IF(M49&gt;10000,M49*0.5%,IF(AND(M49&gt;1000,M49&lt;=10000),M49*1%,IF(AND(M49&gt;100,M49&lt;=1000),M49*3%,IF(AND(M49&gt;10,M49&lt;=100),M49*5%,M49*8%))))</f>
        <v>#VALUE!</v>
      </c>
      <c r="M63" s="307" t="e">
        <f>ROUND(L63,1)</f>
        <v>#VALUE!</v>
      </c>
      <c r="N63" s="2738"/>
      <c r="Z63" s="1907"/>
      <c r="AI63" s="1908"/>
    </row>
    <row r="64" spans="1:35" ht="14.25" customHeight="1">
      <c r="A64" s="173" t="s">
        <v>770</v>
      </c>
      <c r="B64" s="174" t="s">
        <v>2007</v>
      </c>
      <c r="C64" s="2760" t="e">
        <f ca="1">D45</f>
        <v>#REF!</v>
      </c>
      <c r="D64" s="174" t="s">
        <v>32</v>
      </c>
      <c r="E64" s="176"/>
      <c r="F64" s="1963"/>
      <c r="G64" s="1963"/>
      <c r="H64" s="1965"/>
      <c r="I64" s="134"/>
      <c r="J64" s="3489"/>
      <c r="K64" s="3211" t="s">
        <v>2008</v>
      </c>
      <c r="L64" s="321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39" t="s">
        <v>2009</v>
      </c>
      <c r="Z64" s="1907"/>
      <c r="AI64" s="1908"/>
    </row>
    <row r="65" spans="1:35" ht="14.25" customHeight="1">
      <c r="A65" s="173" t="s">
        <v>771</v>
      </c>
      <c r="B65" s="174" t="s">
        <v>2010</v>
      </c>
      <c r="C65" s="2761"/>
      <c r="D65" s="174"/>
      <c r="E65" s="176"/>
      <c r="F65" s="1963"/>
      <c r="G65" s="1963"/>
      <c r="H65" s="1965"/>
      <c r="I65" s="134"/>
      <c r="J65" s="3489"/>
      <c r="K65" s="3211" t="s">
        <v>2011</v>
      </c>
      <c r="L65" s="3211" t="e">
        <f>IF(M49&gt;1000,M49*0.1%,IF(AND(M49&gt;500,M49&lt;=1000),M49*0.5%,IF(AND(M49&gt;50,M49&lt;=500),M49*1%,IF(AND(M49&gt;1,M49&lt;=50),M49*1.5%))))</f>
        <v>#VALUE!</v>
      </c>
      <c r="M65" s="307" t="e">
        <f t="shared" si="1"/>
        <v>#VALUE!</v>
      </c>
      <c r="N65" s="2739" t="s">
        <v>2009</v>
      </c>
      <c r="Z65" s="1907"/>
      <c r="AI65" s="1908"/>
    </row>
    <row r="66" spans="1:35" ht="14.25" customHeight="1">
      <c r="A66" s="177" t="s">
        <v>772</v>
      </c>
      <c r="B66" s="178" t="s">
        <v>2012</v>
      </c>
      <c r="C66" s="2762"/>
      <c r="D66" s="178" t="s">
        <v>32</v>
      </c>
      <c r="E66" s="1478" t="s">
        <v>1277</v>
      </c>
      <c r="F66" s="1963"/>
      <c r="G66" s="1963"/>
      <c r="H66" s="1965"/>
      <c r="I66" s="134"/>
      <c r="J66" s="3489"/>
      <c r="K66" s="3211" t="s">
        <v>2013</v>
      </c>
      <c r="L66" s="3211" t="e">
        <f>M49*0.5%</f>
        <v>#VALUE!</v>
      </c>
      <c r="M66" s="307" t="e">
        <f>IF(L66&gt;0.5,0.5,ROUND(L66,0))</f>
        <v>#VALUE!</v>
      </c>
      <c r="N66" s="2739" t="s">
        <v>2014</v>
      </c>
      <c r="Z66" s="1907"/>
      <c r="AI66" s="1908"/>
    </row>
    <row r="67" spans="1:35" ht="14.25" customHeight="1">
      <c r="A67" s="177" t="s">
        <v>773</v>
      </c>
      <c r="B67" s="178" t="s">
        <v>2015</v>
      </c>
      <c r="C67" s="2763" t="e">
        <f ca="1">C63-C66</f>
        <v>#REF!</v>
      </c>
      <c r="D67" s="174" t="s">
        <v>32</v>
      </c>
      <c r="E67" s="176"/>
      <c r="F67" s="1963"/>
      <c r="G67" s="1963"/>
      <c r="H67" s="1965"/>
      <c r="I67" s="134"/>
      <c r="J67" s="3489"/>
      <c r="K67" s="3211" t="s">
        <v>2016</v>
      </c>
      <c r="L67" s="321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38"/>
      <c r="Z67" s="1907"/>
      <c r="AI67" s="1908"/>
    </row>
    <row r="68" spans="1:35" ht="14.25" customHeight="1" thickBot="1">
      <c r="A68" s="180" t="s">
        <v>774</v>
      </c>
      <c r="B68" s="181" t="s">
        <v>2017</v>
      </c>
      <c r="C68" s="2764" t="e">
        <f ca="1">IF(C67&lt;=0,0,ROUND(C67*D68,0))</f>
        <v>#REF!</v>
      </c>
      <c r="D68" s="2765">
        <f>'数据-取费表'!B41</f>
        <v>5.5000000000000007E-2</v>
      </c>
      <c r="E68" s="183"/>
      <c r="F68" s="1963"/>
      <c r="G68" s="1963"/>
      <c r="H68" s="1965"/>
      <c r="I68" s="134"/>
      <c r="J68" s="3489"/>
      <c r="K68" s="3211" t="s">
        <v>2018</v>
      </c>
      <c r="L68" s="3211" t="e">
        <f>IF(M49&gt;10000,M49*0.5%,IF(AND(M49&gt;5000,M49&lt;=10000),M49*1%,IF(AND(M49&gt;1000,M49&lt;=5000),M49*2%,IF(AND(M49&gt;200,M49&lt;=1000),M49*3%,M49*5%))))</f>
        <v>#VALUE!</v>
      </c>
      <c r="M68" s="307" t="e">
        <f>ROUND(L68,1)</f>
        <v>#VALUE!</v>
      </c>
      <c r="N68" s="2738"/>
      <c r="Z68" s="1907"/>
      <c r="AI68" s="1908"/>
    </row>
    <row r="69" spans="1:35" s="1927" customFormat="1" ht="16.5" customHeight="1">
      <c r="A69" s="1966"/>
      <c r="B69" s="1967"/>
      <c r="C69" s="1968"/>
      <c r="D69" s="1969"/>
      <c r="E69" s="1970"/>
      <c r="F69" s="1732"/>
      <c r="G69" s="1732"/>
      <c r="H69" s="1731"/>
      <c r="I69" s="1902"/>
      <c r="J69" s="3489"/>
      <c r="K69" s="3211" t="s">
        <v>2019</v>
      </c>
      <c r="L69" s="3211"/>
      <c r="M69" s="307" t="e">
        <f>ROUND(SUM(M63:M68),0)</f>
        <v>#VALUE!</v>
      </c>
      <c r="N69" s="2740"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448" t="s">
        <v>2020</v>
      </c>
      <c r="B70" s="3449"/>
      <c r="C70" s="3449"/>
      <c r="D70" s="3449"/>
      <c r="E70" s="3449"/>
      <c r="F70" s="3449"/>
      <c r="G70" s="3449"/>
      <c r="H70" s="3449"/>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27" t="s">
        <v>2001</v>
      </c>
      <c r="B71" s="3428"/>
      <c r="C71" s="3220"/>
      <c r="D71" s="3220" t="s">
        <v>2002</v>
      </c>
      <c r="E71" s="184" t="s">
        <v>2003</v>
      </c>
      <c r="F71" s="185"/>
      <c r="G71" s="185"/>
      <c r="H71" s="186"/>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2021</v>
      </c>
      <c r="C72" s="2763" t="e">
        <f ca="1">ROUND(D45/(1+'数据-取费表'!C42),0)</f>
        <v>#REF!</v>
      </c>
      <c r="D72" s="174" t="s">
        <v>32</v>
      </c>
      <c r="E72" s="3222"/>
      <c r="F72" s="3221"/>
      <c r="G72" s="3221"/>
      <c r="H72" s="187"/>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2022</v>
      </c>
      <c r="C73" s="2763" t="e">
        <f ca="1">C74+C78</f>
        <v>#REF!</v>
      </c>
      <c r="D73" s="174" t="s">
        <v>32</v>
      </c>
      <c r="E73" s="3222"/>
      <c r="F73" s="3221"/>
      <c r="G73" s="3221"/>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2023</v>
      </c>
      <c r="C74" s="174">
        <f>ROUND(IF(G77="2016年5月1日后购买",C75/(1+'数据-取费表'!C42)+C76+C77,C75+C76+C77),0)</f>
        <v>0</v>
      </c>
      <c r="D74" s="174" t="s">
        <v>32</v>
      </c>
      <c r="E74" s="3222"/>
      <c r="F74" s="3221"/>
      <c r="G74" s="3221"/>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2024</v>
      </c>
      <c r="C75" s="2766"/>
      <c r="D75" s="174" t="s">
        <v>32</v>
      </c>
      <c r="E75" s="189" t="s">
        <v>2025</v>
      </c>
      <c r="F75" s="2767"/>
      <c r="G75" s="189"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2027</v>
      </c>
      <c r="C76" s="174">
        <f>IF(F75="购房发票",ROUND(C75*H75*D76,0),0)</f>
        <v>0</v>
      </c>
      <c r="D76" s="2769">
        <v>0.05</v>
      </c>
      <c r="E76" s="3422" t="s">
        <v>2028</v>
      </c>
      <c r="F76" s="3397"/>
      <c r="G76" s="3397"/>
      <c r="H76" s="3447"/>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2029</v>
      </c>
      <c r="C77" s="174">
        <f>ROUND(IF(G77="个人住宅",0,IF(G77="2016年5月1日前购买",C75*D77,C75*D77/(1+'数据-取费表'!C42))),0)</f>
        <v>0</v>
      </c>
      <c r="D77" s="2770">
        <f>'数据-取费表'!B48+'数据-取费表'!B49</f>
        <v>3.0499999999999999E-2</v>
      </c>
      <c r="E77" s="3210" t="s">
        <v>2030</v>
      </c>
      <c r="F77" s="191"/>
      <c r="G77" s="1977"/>
      <c r="H77" s="3223"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2031</v>
      </c>
      <c r="C78" s="2771" t="e">
        <f ca="1">ROUND(D45*D78/(1+'数据-取费表'!C42),0)</f>
        <v>#REF!</v>
      </c>
      <c r="D78" s="2772">
        <f>'数据-取费表'!B43</f>
        <v>5.000000000000001E-3</v>
      </c>
      <c r="E78" s="3406" t="s">
        <v>2032</v>
      </c>
      <c r="F78" s="3407"/>
      <c r="G78" s="3407"/>
      <c r="H78" s="341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773</v>
      </c>
      <c r="B79" s="178" t="s">
        <v>2033</v>
      </c>
      <c r="C79" s="2763" t="e">
        <f ca="1">C72-C73</f>
        <v>#REF!</v>
      </c>
      <c r="D79" s="174" t="s">
        <v>32</v>
      </c>
      <c r="E79" s="3222"/>
      <c r="F79" s="3221"/>
      <c r="G79" s="3221"/>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2034</v>
      </c>
      <c r="C80" s="2773" t="e">
        <f ca="1">IF(C79&lt;=0,0,C79/C73)</f>
        <v>#REF!</v>
      </c>
      <c r="D80" s="174" t="s">
        <v>32</v>
      </c>
      <c r="E80" s="3210" t="e">
        <f ca="1">IF(C80&gt;=200%,"增值额超过扣除项目金额200%",IF(C80&gt;=100%,"增值额超过扣除项目金额100%，未超过200%",IF(C80&gt;=50%,"增值额超过扣除项目金额50%，未超过100%",IF(C80&lt;50%,"增值额未超过扣除项目金额50%"))))</f>
        <v>#REF!</v>
      </c>
      <c r="F80" s="3221"/>
      <c r="G80" s="3221"/>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2035</v>
      </c>
      <c r="C81" s="2774" t="e">
        <f ca="1">ROUND(IF(C79&lt;=0,0,IF(C80&gt;=200%,C79*60%-C73*35%,IF(C80&gt;=100%,C79*50%-C73*15%,IF(C80&gt;=50%,C79*40%-C73*5%,IF(C80&lt;50%,C79*30%,0))))),0)</f>
        <v>#REF!</v>
      </c>
      <c r="D81" s="2775" t="s">
        <v>32</v>
      </c>
      <c r="E81" s="19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48" t="s">
        <v>2036</v>
      </c>
      <c r="B83" s="3449"/>
      <c r="C83" s="3449"/>
      <c r="D83" s="3449"/>
      <c r="E83" s="3449"/>
      <c r="F83" s="3449"/>
      <c r="G83" s="3449"/>
      <c r="H83" s="3449"/>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27" t="s">
        <v>2001</v>
      </c>
      <c r="B84" s="3428"/>
      <c r="C84" s="3220"/>
      <c r="D84" s="3220" t="s">
        <v>2002</v>
      </c>
      <c r="E84" s="184" t="s">
        <v>2003</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2021</v>
      </c>
      <c r="C85" s="2763" t="e">
        <f ca="1">ROUND(D45/(1+'数据-取费表'!C42),0)</f>
        <v>#REF!</v>
      </c>
      <c r="D85" s="174" t="s">
        <v>32</v>
      </c>
      <c r="E85" s="3222"/>
      <c r="F85" s="3221"/>
      <c r="G85" s="3221"/>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2022</v>
      </c>
      <c r="C86" s="2763" t="e">
        <f ca="1">IF(H88="仅含出让金",C87+C90+C91+C92+C93+C94,C87+C91+C92+C93+C94)</f>
        <v>#REF!</v>
      </c>
      <c r="D86" s="2776"/>
      <c r="E86" s="3222"/>
      <c r="F86" s="3221"/>
      <c r="G86" s="3221"/>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2037</v>
      </c>
      <c r="C87" s="2771">
        <f>C88+C89</f>
        <v>0</v>
      </c>
      <c r="D87" s="2772"/>
      <c r="E87" s="3217"/>
      <c r="F87" s="3218"/>
      <c r="G87" s="3218"/>
      <c r="H87" s="3219"/>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2038</v>
      </c>
      <c r="C88" s="2777"/>
      <c r="D88" s="2772"/>
      <c r="E88" s="198" t="s">
        <v>2039</v>
      </c>
      <c r="F88" s="3218"/>
      <c r="G88" s="199" t="s">
        <v>2040</v>
      </c>
      <c r="H88" s="1979"/>
      <c r="I88" s="1976"/>
      <c r="J88" s="2716" t="s">
        <v>2972</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2029</v>
      </c>
      <c r="C89" s="2771">
        <f>ROUND(C88*D89,0)</f>
        <v>0</v>
      </c>
      <c r="D89" s="2772">
        <f>'数据-取费表'!B48+'数据-取费表'!B49</f>
        <v>3.0499999999999999E-2</v>
      </c>
      <c r="E89" s="198" t="s">
        <v>2041</v>
      </c>
      <c r="F89" s="3218"/>
      <c r="G89" s="3218"/>
      <c r="H89" s="3219"/>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2042</v>
      </c>
      <c r="C90" s="2777"/>
      <c r="D90" s="2772"/>
      <c r="E90" s="198" t="str">
        <f>IF(H88="-","土地取得成本中已包含该笔费用"," ")</f>
        <v xml:space="preserve"> </v>
      </c>
      <c r="F90" s="3218"/>
      <c r="G90" s="3491" t="s">
        <v>2809</v>
      </c>
      <c r="H90" s="3492"/>
      <c r="I90" s="1976"/>
      <c r="J90" s="2716" t="s">
        <v>2973</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2043</v>
      </c>
      <c r="B91" s="174" t="s">
        <v>2044</v>
      </c>
      <c r="C91" s="2771">
        <f>IF(H91="——",'成本法-仓储'!C33,I91)</f>
        <v>0</v>
      </c>
      <c r="D91" s="2772"/>
      <c r="E91" s="3406" t="s">
        <v>2045</v>
      </c>
      <c r="F91" s="3407"/>
      <c r="G91" s="3407"/>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2046</v>
      </c>
      <c r="B92" s="174" t="s">
        <v>2047</v>
      </c>
      <c r="C92" s="2771">
        <f>ROUND((C87+C90+C91)*D92,0)</f>
        <v>0</v>
      </c>
      <c r="D92" s="2778"/>
      <c r="E92" s="3406" t="s">
        <v>2048</v>
      </c>
      <c r="F92" s="3407"/>
      <c r="G92" s="3407"/>
      <c r="H92" s="3416"/>
      <c r="I92" s="1976"/>
      <c r="J92" s="2717" t="s">
        <v>2974</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2049</v>
      </c>
      <c r="B93" s="174" t="s">
        <v>2031</v>
      </c>
      <c r="C93" s="2771" t="e">
        <f ca="1">ROUND(D45*D93/(1+'数据-取费表'!C42),0)</f>
        <v>#REF!</v>
      </c>
      <c r="D93" s="2772">
        <f>'数据-取费表'!B43</f>
        <v>5.000000000000001E-3</v>
      </c>
      <c r="E93" s="3406" t="s">
        <v>2032</v>
      </c>
      <c r="F93" s="3407"/>
      <c r="G93" s="3407"/>
      <c r="H93" s="341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2050</v>
      </c>
      <c r="B94" s="174" t="s">
        <v>2051</v>
      </c>
      <c r="C94" s="2777">
        <f>ROUND((C87+C90+C91)*D94,0)</f>
        <v>0</v>
      </c>
      <c r="D94" s="2772">
        <v>0.2</v>
      </c>
      <c r="E94" s="3417" t="s">
        <v>2052</v>
      </c>
      <c r="F94" s="3418"/>
      <c r="G94" s="3418"/>
      <c r="H94" s="341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773</v>
      </c>
      <c r="B95" s="178" t="s">
        <v>2033</v>
      </c>
      <c r="C95" s="2763" t="e">
        <f ca="1">ROUND(C85-C86,0)</f>
        <v>#REF!</v>
      </c>
      <c r="D95" s="174" t="s">
        <v>32</v>
      </c>
      <c r="E95" s="3222"/>
      <c r="F95" s="3221"/>
      <c r="G95" s="3221"/>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2034</v>
      </c>
      <c r="C96" s="2773" t="e">
        <f ca="1">IF(C95&lt;=0,0,C95/C86)</f>
        <v>#REF!</v>
      </c>
      <c r="D96" s="174" t="s">
        <v>32</v>
      </c>
      <c r="E96" s="3210" t="e">
        <f ca="1">IF(C96&gt;=200%,"增值额超过扣除项目金额200%",IF(C96&gt;=100%,"增值额超过扣除项目金额100%，未超过200%",IF(C96&gt;=50%,"增值额超过扣除项目金额50%，未超过100%",IF(C96&lt;50%,"增值额未超过扣除项目金额50%"))))</f>
        <v>#REF!</v>
      </c>
      <c r="F96" s="3221"/>
      <c r="G96" s="3221"/>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2035</v>
      </c>
      <c r="C97" s="2774" t="e">
        <f ca="1">ROUND(IF(C95&lt;=0,0,IF(C96&gt;=200%,C95*60%-C86*35%,IF(C96&gt;=100%,C95*50%-C86*15%,IF(C96&gt;=50%,C95*40%-C86*5%,IF(C96&lt;50%,C95*30%,0))))),0)</f>
        <v>#REF!</v>
      </c>
      <c r="D97" s="2775" t="s">
        <v>32</v>
      </c>
      <c r="E97" s="19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6" t="s">
        <v>2054</v>
      </c>
      <c r="B100" s="3347"/>
      <c r="C100" s="3347"/>
      <c r="D100" s="3408"/>
      <c r="E100" s="3347" t="s">
        <v>2055</v>
      </c>
      <c r="F100" s="3347"/>
      <c r="G100" s="3347"/>
      <c r="H100" s="3408"/>
      <c r="I100" s="134"/>
    </row>
    <row r="101" spans="1:35" ht="18.75" customHeight="1">
      <c r="A101" s="3472" t="s">
        <v>2056</v>
      </c>
      <c r="B101" s="3473"/>
      <c r="C101" s="2780" t="str">
        <f>C4</f>
        <v>成本法-仓储</v>
      </c>
      <c r="D101" s="2781" t="str">
        <f>D4</f>
        <v>收益法-仓储</v>
      </c>
      <c r="E101" s="3486" t="s">
        <v>2057</v>
      </c>
      <c r="F101" s="3440"/>
      <c r="G101" s="1982" t="s">
        <v>2058</v>
      </c>
      <c r="H101" s="2790" t="e">
        <f ca="1">H118</f>
        <v>#REF!</v>
      </c>
      <c r="I101" s="134"/>
    </row>
    <row r="102" spans="1:35" ht="18.75" customHeight="1">
      <c r="A102" s="3442" t="s">
        <v>2059</v>
      </c>
      <c r="B102" s="2779" t="s">
        <v>2058</v>
      </c>
      <c r="C102" s="2780">
        <f ca="1">C19</f>
        <v>8949</v>
      </c>
      <c r="D102" s="2781">
        <f ca="1">D19</f>
        <v>5434</v>
      </c>
      <c r="E102" s="3486"/>
      <c r="F102" s="3440"/>
      <c r="G102" s="1982" t="s">
        <v>2060</v>
      </c>
      <c r="H102" s="2750" t="e">
        <f ca="1">I118</f>
        <v>#REF!</v>
      </c>
      <c r="I102" s="134"/>
    </row>
    <row r="103" spans="1:35" ht="42.75" customHeight="1">
      <c r="A103" s="3442"/>
      <c r="B103" s="2779" t="s">
        <v>2060</v>
      </c>
      <c r="C103" s="2782">
        <f ca="1">C20</f>
        <v>9905</v>
      </c>
      <c r="D103" s="2783">
        <f ca="1">D20</f>
        <v>6014</v>
      </c>
      <c r="E103" s="3480" t="s">
        <v>2061</v>
      </c>
      <c r="F103" s="3481"/>
      <c r="G103" s="1983" t="s">
        <v>2062</v>
      </c>
      <c r="H103" s="2790">
        <f>IF(D36="正常操作",H104+H105+H106,H105+H106)</f>
        <v>0</v>
      </c>
      <c r="I103" s="134"/>
    </row>
    <row r="104" spans="1:35" ht="18.75" customHeight="1">
      <c r="A104" s="3442" t="s">
        <v>2063</v>
      </c>
      <c r="B104" s="2784" t="s">
        <v>2058</v>
      </c>
      <c r="C104" s="2785" t="e">
        <f ca="1">H118</f>
        <v>#REF!</v>
      </c>
      <c r="D104" s="2786"/>
      <c r="E104" s="1829" t="s">
        <v>2064</v>
      </c>
      <c r="F104" s="1820"/>
      <c r="G104" s="1983" t="s">
        <v>2062</v>
      </c>
      <c r="H104" s="2791">
        <f>IF(D36="同一抵押权人同一抵押物续贷",C36&amp;"（续贷，未扣减，详见特别提示）",C36)</f>
        <v>0</v>
      </c>
      <c r="I104" s="134"/>
    </row>
    <row r="105" spans="1:35" ht="18.75" customHeight="1" thickBot="1">
      <c r="A105" s="3443"/>
      <c r="B105" s="2787" t="s">
        <v>2060</v>
      </c>
      <c r="C105" s="2788" t="e">
        <f ca="1">I118</f>
        <v>#REF!</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439" t="str">
        <f>IF(项目基本情况!E8="已注销","——","3.房地产抵押价值")</f>
        <v>3.房地产抵押价值</v>
      </c>
      <c r="F107" s="3440"/>
      <c r="G107" s="1982" t="s">
        <v>2058</v>
      </c>
      <c r="H107" s="2790" t="e">
        <f ca="1">IF(E107="——","——",H101-H103)</f>
        <v>#REF!</v>
      </c>
      <c r="I107" s="134"/>
    </row>
    <row r="108" spans="1:35" ht="18.75" customHeight="1">
      <c r="A108" s="134"/>
      <c r="B108" s="134"/>
      <c r="C108" s="134"/>
      <c r="D108" s="134"/>
      <c r="E108" s="3439"/>
      <c r="F108" s="3440"/>
      <c r="G108" s="1982" t="s">
        <v>2060</v>
      </c>
      <c r="H108" s="2750" t="e">
        <f ca="1">ROUND(H107*10000/'数据-汇总表'!E3,0)</f>
        <v>#REF!</v>
      </c>
      <c r="I108" s="134"/>
    </row>
    <row r="109" spans="1:35" ht="18.75" customHeight="1">
      <c r="A109" s="134"/>
      <c r="B109" s="134"/>
      <c r="C109" s="134"/>
      <c r="D109" s="134"/>
      <c r="E109" s="3439" t="str">
        <f>IF(项目基本情况!E8="已注销及未注销","4.抵押担保权已注销时的房地产抵押价值",IF(项目基本情况!E8="已注销","3.抵押担保权已注销时的房地产抵押价值","——"))</f>
        <v>——</v>
      </c>
      <c r="F109" s="3440"/>
      <c r="G109" s="1982" t="s">
        <v>2058</v>
      </c>
      <c r="H109" s="2793" t="str">
        <f>IF(E109="——","——",H101-H105-H106)</f>
        <v>——</v>
      </c>
      <c r="I109" s="134"/>
    </row>
    <row r="110" spans="1:35" ht="18.75" customHeight="1">
      <c r="A110" s="134"/>
      <c r="B110" s="134"/>
      <c r="C110" s="134"/>
      <c r="D110" s="134"/>
      <c r="E110" s="3439"/>
      <c r="F110" s="3440"/>
      <c r="G110" s="1982" t="s">
        <v>2060</v>
      </c>
      <c r="H110" s="2750" t="str">
        <f>IF(H109="——","——",ROUND(H109*10000/'数据-汇总表'!E3,0))</f>
        <v>——</v>
      </c>
      <c r="I110" s="134"/>
    </row>
    <row r="111" spans="1:35" ht="18.75" customHeight="1">
      <c r="A111" s="134"/>
      <c r="B111" s="134"/>
      <c r="C111" s="134"/>
      <c r="D111" s="134"/>
      <c r="E111" s="3474" t="str">
        <f>IF(项目基本情况!E9="抵押净值",IF(OR(项目基本情况!E8="已注销",项目基本情况!E8="房地产抵押价值"),"4.抵押净值","5.抵押净值"),"——")</f>
        <v>——</v>
      </c>
      <c r="F111" s="3441"/>
      <c r="G111" s="1982" t="s">
        <v>2058</v>
      </c>
      <c r="H111" s="2790" t="str">
        <f>IF(E111="——","——",N59)</f>
        <v>——</v>
      </c>
      <c r="I111" s="134"/>
    </row>
    <row r="112" spans="1:35" ht="18.75" customHeight="1" thickBot="1">
      <c r="A112" s="134"/>
      <c r="B112" s="134"/>
      <c r="C112" s="134"/>
      <c r="D112" s="134"/>
      <c r="E112" s="3475"/>
      <c r="F112" s="3476"/>
      <c r="G112" s="1985" t="s">
        <v>2060</v>
      </c>
      <c r="H112" s="2794" t="str">
        <f>IF(E111="——","——",N61)</f>
        <v>——</v>
      </c>
      <c r="I112" s="134"/>
    </row>
    <row r="113" spans="1:27" ht="18.75" customHeight="1">
      <c r="A113" s="134"/>
      <c r="B113" s="134"/>
      <c r="C113" s="134"/>
      <c r="D113" s="134"/>
      <c r="E113" s="3444" t="s">
        <v>2066</v>
      </c>
      <c r="F113" s="3444"/>
      <c r="G113" s="3444"/>
      <c r="H113" s="3444"/>
      <c r="I113" s="134"/>
    </row>
    <row r="114" spans="1:27" ht="3.75" customHeight="1">
      <c r="A114" s="1902"/>
      <c r="B114" s="1902"/>
      <c r="C114" s="1902"/>
      <c r="D114" s="1902"/>
      <c r="E114" s="1964"/>
      <c r="F114" s="1964"/>
      <c r="G114" s="1964"/>
      <c r="H114" s="1964"/>
      <c r="I114" s="1902"/>
    </row>
    <row r="115" spans="1:27" ht="18.75" customHeight="1">
      <c r="A115" s="3457" t="s">
        <v>2068</v>
      </c>
      <c r="B115" s="3458"/>
      <c r="C115" s="3458"/>
      <c r="D115" s="3458"/>
      <c r="E115" s="3458"/>
      <c r="F115" s="3458"/>
      <c r="G115" s="3458"/>
      <c r="H115" s="3458"/>
      <c r="I115" s="3459"/>
    </row>
    <row r="116" spans="1:27" ht="27" customHeight="1">
      <c r="A116" s="3410" t="s">
        <v>2069</v>
      </c>
      <c r="B116" s="3445" t="s">
        <v>2070</v>
      </c>
      <c r="C116" s="3445" t="s">
        <v>2071</v>
      </c>
      <c r="D116" s="3461" t="s">
        <v>2072</v>
      </c>
      <c r="E116" s="3462"/>
      <c r="F116" s="3453" t="s">
        <v>2073</v>
      </c>
      <c r="G116" s="3453"/>
      <c r="H116" s="3410" t="s">
        <v>2074</v>
      </c>
      <c r="I116" s="3410"/>
    </row>
    <row r="117" spans="1:27" ht="18.75" customHeight="1">
      <c r="A117" s="3410"/>
      <c r="B117" s="3446"/>
      <c r="C117" s="3446"/>
      <c r="D117" s="3213" t="s">
        <v>2075</v>
      </c>
      <c r="E117" s="3213" t="s">
        <v>2076</v>
      </c>
      <c r="F117" s="3213" t="s">
        <v>2075</v>
      </c>
      <c r="G117" s="3213" t="s">
        <v>2077</v>
      </c>
      <c r="H117" s="3213" t="s">
        <v>2075</v>
      </c>
      <c r="I117" s="3213" t="s">
        <v>2077</v>
      </c>
    </row>
    <row r="118" spans="1:27" ht="24.75" customHeight="1">
      <c r="A118" s="2795" t="str">
        <f>项目基本情况!S2</f>
        <v>北京市房地产</v>
      </c>
      <c r="B118" s="3213">
        <f>M18</f>
        <v>9034.9699999999993</v>
      </c>
      <c r="C118" s="3213">
        <f>M19</f>
        <v>4681.33</v>
      </c>
      <c r="D118" s="3213" t="e">
        <f ca="1">ROUND(IF(D32="总价",C34,E118*B118/10000),0)</f>
        <v>#REF!</v>
      </c>
      <c r="E118" s="3213" t="e">
        <f ca="1">ROUND(IF(C33="自定义",IF(D32="楼面单价",C34,D118*10000/B118),I118-G118),0)</f>
        <v>#REF!</v>
      </c>
      <c r="F118" s="3213" t="e">
        <f ca="1">ROUND(IF(D32="总价",C35,G118*B118/10000),0)</f>
        <v>#REF!</v>
      </c>
      <c r="G118" s="3213" t="e">
        <f ca="1">ROUND(IF(D32="楼面单价",C35,F118*10000/B118),0)</f>
        <v>#REF!</v>
      </c>
      <c r="H118" s="3213" t="e">
        <f ca="1">ROUND(IF(D32="总价",C32,I118*B118/10000),0)</f>
        <v>#REF!</v>
      </c>
      <c r="I118" s="3213" t="e">
        <f ca="1">ROUND(IF(D32="楼面单价",C32,H118*10000/B118),0)</f>
        <v>#REF!</v>
      </c>
    </row>
    <row r="119" spans="1:27" ht="18.75" customHeight="1">
      <c r="A119" s="3410" t="s">
        <v>2078</v>
      </c>
      <c r="B119" s="3410"/>
      <c r="C119" s="3410"/>
      <c r="D119" s="3450" t="e">
        <f ca="1">NUMBERSTRING(INT(D118*10000),2)&amp;"元整"</f>
        <v>#REF!</v>
      </c>
      <c r="E119" s="3452"/>
      <c r="F119" s="3450" t="e">
        <f ca="1">NUMBERSTRING(INT(F118*10000),2)&amp;"元整"</f>
        <v>#REF!</v>
      </c>
      <c r="G119" s="3452"/>
      <c r="H119" s="3450" t="e">
        <f ca="1">NUMBERSTRING(INT(H118*10000),2)&amp;"元整"</f>
        <v>#REF!</v>
      </c>
      <c r="I119" s="3452"/>
    </row>
    <row r="120" spans="1:27" ht="18.75" customHeight="1">
      <c r="A120" s="3477" t="str">
        <f>IF(项目基本情况!B9="房地产市场价值","",MID(E103,3,LEN(E103)-2))</f>
        <v/>
      </c>
      <c r="B120" s="3478"/>
      <c r="C120" s="3479"/>
      <c r="D120" s="3477">
        <f>H103</f>
        <v>0</v>
      </c>
      <c r="E120" s="3478"/>
      <c r="F120" s="3478"/>
      <c r="G120" s="3478"/>
      <c r="H120" s="3478"/>
      <c r="I120" s="3479"/>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454" t="s">
        <v>2078</v>
      </c>
      <c r="B121" s="3455"/>
      <c r="C121" s="3456"/>
      <c r="D121" s="3450" t="str">
        <f>IF(D120=0,"零元整",NUMBERSTRING(INT(D120*10000),2)&amp;"元整")</f>
        <v>零元整</v>
      </c>
      <c r="E121" s="3451"/>
      <c r="F121" s="3451"/>
      <c r="G121" s="3451"/>
      <c r="H121" s="3451"/>
      <c r="I121" s="3452"/>
      <c r="AA121" s="733"/>
    </row>
    <row r="122" spans="1:27" ht="18.75" customHeight="1">
      <c r="A122" s="3441" t="str">
        <f>IF(项目基本情况!B9="房地产市场价值","",MID(E107,3,LEN(E107)-2))</f>
        <v/>
      </c>
      <c r="B122" s="3441"/>
      <c r="C122" s="3441"/>
      <c r="D122" s="3477" t="e">
        <f ca="1">H107</f>
        <v>#REF!</v>
      </c>
      <c r="E122" s="3478"/>
      <c r="F122" s="3478"/>
      <c r="G122" s="3478"/>
      <c r="H122" s="3478"/>
      <c r="I122" s="3479"/>
      <c r="AA122" s="733"/>
    </row>
    <row r="123" spans="1:27" ht="18.75" customHeight="1">
      <c r="A123" s="3410" t="s">
        <v>2078</v>
      </c>
      <c r="B123" s="3410"/>
      <c r="C123" s="3410"/>
      <c r="D123" s="3450" t="e">
        <f ca="1">NUMBERSTRING(INT(D122*10000),2)&amp;"元整"</f>
        <v>#REF!</v>
      </c>
      <c r="E123" s="3451"/>
      <c r="F123" s="3451"/>
      <c r="G123" s="3451"/>
      <c r="H123" s="3451"/>
      <c r="I123" s="3452"/>
      <c r="AA123" s="733"/>
    </row>
    <row r="124" spans="1:27" ht="18.75" customHeight="1">
      <c r="A124" s="3441" t="str">
        <f>IF(项目基本情况!B9="房地产市场价值","",MID(E109,3,LEN(E109)-2))</f>
        <v/>
      </c>
      <c r="B124" s="3441"/>
      <c r="C124" s="3441"/>
      <c r="D124" s="3477" t="str">
        <f>H109</f>
        <v>——</v>
      </c>
      <c r="E124" s="3478"/>
      <c r="F124" s="3478"/>
      <c r="G124" s="3478"/>
      <c r="H124" s="3478"/>
      <c r="I124" s="3479"/>
      <c r="AA124" s="733"/>
    </row>
    <row r="125" spans="1:27" ht="18.75" customHeight="1">
      <c r="A125" s="3410" t="s">
        <v>2078</v>
      </c>
      <c r="B125" s="3410"/>
      <c r="C125" s="3410"/>
      <c r="D125" s="3450" t="e">
        <f>NUMBERSTRING(INT(D124*10000),2)&amp;"元整"</f>
        <v>#VALUE!</v>
      </c>
      <c r="E125" s="3451"/>
      <c r="F125" s="3451"/>
      <c r="G125" s="3451"/>
      <c r="H125" s="3451"/>
      <c r="I125" s="3452"/>
      <c r="AA125" s="733"/>
    </row>
    <row r="126" spans="1:27" ht="18.75" customHeight="1">
      <c r="A126" s="3441" t="str">
        <f>IF(项目基本情况!B9="房地产市场价值","",MID(E111,3,LEN(E111)-2))</f>
        <v/>
      </c>
      <c r="B126" s="3441"/>
      <c r="C126" s="3441"/>
      <c r="D126" s="3477" t="str">
        <f>H111</f>
        <v>——</v>
      </c>
      <c r="E126" s="3478"/>
      <c r="F126" s="3478"/>
      <c r="G126" s="3478"/>
      <c r="H126" s="3478"/>
      <c r="I126" s="3479"/>
      <c r="AA126" s="733"/>
    </row>
    <row r="127" spans="1:27" ht="18.75" customHeight="1">
      <c r="A127" s="3410" t="s">
        <v>2078</v>
      </c>
      <c r="B127" s="3410"/>
      <c r="C127" s="3410"/>
      <c r="D127" s="3450" t="e">
        <f>NUMBERSTRING(INT(D126*10000),2)&amp;"元整"</f>
        <v>#VALUE!</v>
      </c>
      <c r="E127" s="3451"/>
      <c r="F127" s="3451"/>
      <c r="G127" s="3451"/>
      <c r="H127" s="3451"/>
      <c r="I127" s="3452"/>
      <c r="AA127" s="733"/>
    </row>
    <row r="128" spans="1:27" ht="21.75" customHeight="1">
      <c r="A128" s="3460" t="s">
        <v>2079</v>
      </c>
      <c r="B128" s="3460"/>
      <c r="C128" s="3460"/>
      <c r="D128" s="3460"/>
      <c r="E128" s="3460"/>
      <c r="F128" s="3460"/>
      <c r="G128" s="3460"/>
      <c r="H128" s="3460"/>
      <c r="I128" s="3460"/>
      <c r="AA128" s="733"/>
    </row>
    <row r="129" spans="1:35" ht="21.75" customHeight="1">
      <c r="A129" s="1986" t="s">
        <v>2080</v>
      </c>
      <c r="B129" s="1987"/>
      <c r="C129" s="1988" t="s">
        <v>2081</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2082</v>
      </c>
      <c r="G135" s="2003"/>
      <c r="H135" s="2003"/>
      <c r="I135" s="2004" t="s">
        <v>2083</v>
      </c>
    </row>
    <row r="136" spans="1:35" ht="21.75" customHeight="1">
      <c r="A136" s="733"/>
      <c r="B136" s="2005"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2085</v>
      </c>
    </row>
    <row r="139" spans="1:35" ht="21.75" customHeight="1">
      <c r="A139" s="733"/>
      <c r="B139" s="2005" t="s">
        <v>2086</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2085</v>
      </c>
    </row>
    <row r="142" spans="1:35" ht="21.75" customHeight="1">
      <c r="A142" s="733"/>
      <c r="B142" s="2005"/>
      <c r="C142" s="2006"/>
      <c r="D142" s="2007"/>
      <c r="E142" s="2007"/>
      <c r="F142" s="1896"/>
      <c r="G142" s="733"/>
      <c r="H142" s="733"/>
      <c r="I142" s="733"/>
    </row>
    <row r="143" spans="1:35" s="135"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139" priority="10" stopIfTrue="1" operator="equal">
      <formula>25</formula>
    </cfRule>
  </conditionalFormatting>
  <conditionalFormatting sqref="C8:C9">
    <cfRule type="cellIs" dxfId="138" priority="9" stopIfTrue="1" operator="equal">
      <formula>15</formula>
    </cfRule>
  </conditionalFormatting>
  <conditionalFormatting sqref="C14:C16">
    <cfRule type="cellIs" dxfId="137" priority="8" stopIfTrue="1" operator="equal">
      <formula>30</formula>
    </cfRule>
  </conditionalFormatting>
  <conditionalFormatting sqref="D5:D7">
    <cfRule type="cellIs" dxfId="136" priority="7" stopIfTrue="1" operator="equal">
      <formula>25</formula>
    </cfRule>
  </conditionalFormatting>
  <conditionalFormatting sqref="D8:D9">
    <cfRule type="cellIs" dxfId="135" priority="6" stopIfTrue="1" operator="equal">
      <formula>15</formula>
    </cfRule>
  </conditionalFormatting>
  <conditionalFormatting sqref="C10:D13">
    <cfRule type="cellIs" dxfId="134" priority="5" stopIfTrue="1" operator="equal">
      <formula>15</formula>
    </cfRule>
  </conditionalFormatting>
  <conditionalFormatting sqref="D14:D16">
    <cfRule type="cellIs" dxfId="133" priority="4" stopIfTrue="1" operator="equal">
      <formula>30</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E36">
    <cfRule type="expression" dxfId="130" priority="1" stopIfTrue="1">
      <formula>$D$36="同一抵押权人同一抵押物续贷"</formula>
    </cfRule>
  </conditionalFormatting>
  <dataValidations count="23">
    <dataValidation type="list" allowBlank="1" showInputMessage="1" showErrorMessage="1" sqref="D92" xr:uid="{00000000-0002-0000-1900-000000000000}">
      <formula1>"0,5%,10%"</formula1>
    </dataValidation>
    <dataValidation type="list" allowBlank="1" showInputMessage="1" showErrorMessage="1" sqref="H59" xr:uid="{00000000-0002-0000-1900-000001000000}">
      <formula1>"非个人房产,个人住宅（满五唯一有凭证）,个人其他（有凭证）,个人其他（无凭证）"</formula1>
    </dataValidation>
    <dataValidation type="list" allowBlank="1" showInputMessage="1" showErrorMessage="1" sqref="E103" xr:uid="{00000000-0002-0000-1900-000002000000}">
      <formula1>"2.估价师知悉的法定优先受偿款,2.估价师知悉的除抵押担保权以外的法定优先受偿款"</formula1>
    </dataValidation>
    <dataValidation type="list" allowBlank="1" showInputMessage="1" showErrorMessage="1" sqref="G77" xr:uid="{00000000-0002-0000-1900-000003000000}">
      <formula1>"个人住宅,2016年5月1日前购买,2016年5月1日后购买"</formula1>
    </dataValidation>
    <dataValidation type="list" allowBlank="1" showInputMessage="1" showErrorMessage="1" sqref="C1" xr:uid="{00000000-0002-0000-1900-000004000000}">
      <formula1>项目类型</formula1>
    </dataValidation>
    <dataValidation type="list" allowBlank="1" showInputMessage="1" showErrorMessage="1" sqref="I1" xr:uid="{00000000-0002-0000-1900-000005000000}">
      <formula1>"项目局部,项目全部,——"</formula1>
    </dataValidation>
    <dataValidation type="list" showInputMessage="1" showErrorMessage="1" sqref="G1" xr:uid="{00000000-0002-0000-1900-000006000000}">
      <formula1>"现房,在建,土地,-"</formula1>
    </dataValidation>
    <dataValidation type="list" allowBlank="1" showInputMessage="1" showErrorMessage="1" sqref="C129" xr:uid="{00000000-0002-0000-1900-000007000000}">
      <formula1>"无,有"</formula1>
    </dataValidation>
    <dataValidation type="list" allowBlank="1" showInputMessage="1" showErrorMessage="1" sqref="F116:G116" xr:uid="{00000000-0002-0000-1900-000008000000}">
      <formula1>"建筑物价值,在建建筑物价值,建筑物/在建建筑物价值"</formula1>
    </dataValidation>
    <dataValidation type="list" allowBlank="1" showInputMessage="1" showErrorMessage="1" sqref="D116:E116" xr:uid="{00000000-0002-0000-1900-000009000000}">
      <formula1>"出让国有建设用地使用权价值,划拨国有建设用地使用权价值"</formula1>
    </dataValidation>
    <dataValidation type="list" allowBlank="1" showInputMessage="1" showErrorMessage="1" sqref="C116:C117" xr:uid="{00000000-0002-0000-1900-00000A000000}">
      <formula1>"土地面积,分摊土地面积,（分摊）土地面积"</formula1>
    </dataValidation>
    <dataValidation type="list" allowBlank="1" showInputMessage="1" showErrorMessage="1" sqref="B116:B117" xr:uid="{00000000-0002-0000-1900-00000B000000}">
      <formula1>"建筑面积,规划建筑面积,（规划）建筑面积"</formula1>
    </dataValidation>
    <dataValidation type="list" allowBlank="1" showInputMessage="1" showErrorMessage="1" sqref="D36" xr:uid="{00000000-0002-0000-1900-00000C000000}">
      <formula1>"同一抵押权人同一抵押物续贷,注销后放款,正常操作"</formula1>
    </dataValidation>
    <dataValidation type="list" allowBlank="1" showInputMessage="1" showErrorMessage="1" sqref="F75" xr:uid="{00000000-0002-0000-1900-00000D000000}">
      <formula1>"买卖合同,购房发票"</formula1>
    </dataValidation>
    <dataValidation type="list" allowBlank="1" showInputMessage="1" showErrorMessage="1" sqref="H88" xr:uid="{00000000-0002-0000-1900-00000E000000}">
      <formula1>"仅含出让金,出让金+开发费"</formula1>
    </dataValidation>
    <dataValidation type="list" allowBlank="1" showInputMessage="1" showErrorMessage="1" sqref="H91" xr:uid="{00000000-0002-0000-1900-00000F000000}">
      <formula1>"企业提供（在右侧录入）,——"</formula1>
    </dataValidation>
    <dataValidation type="list" allowBlank="1" showInputMessage="1" showErrorMessage="1" sqref="C33" xr:uid="{00000000-0002-0000-1900-000010000000}">
      <formula1>"成本比率,收益比率,自定义"</formula1>
    </dataValidation>
    <dataValidation type="list" allowBlank="1" showInputMessage="1" showErrorMessage="1" sqref="F45" xr:uid="{00000000-0002-0000-1900-000011000000}">
      <formula1>"100%,80%,60%,64%"</formula1>
    </dataValidation>
    <dataValidation type="list" allowBlank="1" showInputMessage="1" showErrorMessage="1" sqref="D32" xr:uid="{00000000-0002-0000-1900-000012000000}">
      <formula1>"总价,楼面单价"</formula1>
    </dataValidation>
    <dataValidation type="list" allowBlank="1" showInputMessage="1" showErrorMessage="1" sqref="H58" xr:uid="{00000000-0002-0000-1900-000013000000}">
      <formula1>"转让取得,自行开发建设"</formula1>
    </dataValidation>
    <dataValidation type="list" allowBlank="1" showInputMessage="1" showErrorMessage="1" sqref="H48" xr:uid="{00000000-0002-0000-1900-000014000000}">
      <formula1>"情况1,情况2,情况3,情况4"</formula1>
    </dataValidation>
    <dataValidation type="list" allowBlank="1" showInputMessage="1" showErrorMessage="1" sqref="H55:H56" xr:uid="{00000000-0002-0000-1900-000015000000}">
      <formula1>"个人住宅,正常"</formula1>
    </dataValidation>
    <dataValidation type="list" allowBlank="1" showInputMessage="1" showErrorMessage="1" sqref="C4:D4 D33" xr:uid="{00000000-0002-0000-1900-000016000000}">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topLeftCell="A25" zoomScale="90" zoomScaleNormal="70" zoomScaleSheetLayoutView="90" workbookViewId="0">
      <selection activeCell="F40" sqref="F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t="s">
        <v>3137</v>
      </c>
      <c r="D1" s="1515" t="s">
        <v>70</v>
      </c>
      <c r="E1" s="1516" t="s">
        <v>1292</v>
      </c>
      <c r="F1" s="1192">
        <f ca="1">J53</f>
        <v>49.25</v>
      </c>
      <c r="G1" s="1531">
        <f>MATCH(C1,'数据-取费表'!A6:A16,0)+5</f>
        <v>7</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1420</v>
      </c>
      <c r="B2" s="1539">
        <f ca="1">C40+J29+L46</f>
        <v>5434</v>
      </c>
      <c r="C2" s="1540" t="s">
        <v>1421</v>
      </c>
      <c r="D2" s="1540"/>
      <c r="E2" s="1541"/>
      <c r="F2" s="1542"/>
      <c r="G2" s="2904"/>
      <c r="H2" s="2893"/>
      <c r="I2" s="2893"/>
      <c r="J2" s="2893"/>
      <c r="K2" s="2894"/>
      <c r="L2" s="2893"/>
      <c r="M2" s="2893"/>
    </row>
    <row r="3" spans="1:37" ht="18" customHeight="1" thickBot="1">
      <c r="A3" s="1543" t="s">
        <v>1422</v>
      </c>
      <c r="B3" s="1544">
        <f ca="1">IF(ISERROR(B2*10000/F43),0,ROUND(B2*10000/F43,0))</f>
        <v>6014</v>
      </c>
      <c r="C3" s="1540" t="s">
        <v>1423</v>
      </c>
      <c r="D3" s="1540"/>
      <c r="E3" s="1541"/>
      <c r="F3" s="1542"/>
      <c r="G3" s="2904"/>
      <c r="H3" s="691" t="s">
        <v>1493</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251</v>
      </c>
      <c r="D5" s="1517" t="s">
        <v>1307</v>
      </c>
      <c r="E5" s="1202"/>
      <c r="F5" s="1203"/>
      <c r="G5" s="1537"/>
      <c r="H5" s="304">
        <v>1</v>
      </c>
      <c r="I5" s="305" t="s">
        <v>1306</v>
      </c>
      <c r="J5" s="1201">
        <f ca="1">J6+J10+J12</f>
        <v>0</v>
      </c>
      <c r="K5" s="1517" t="s">
        <v>1307</v>
      </c>
      <c r="L5" s="1202"/>
      <c r="M5" s="1203"/>
    </row>
    <row r="6" spans="1:37" ht="18" customHeight="1">
      <c r="A6" s="1200" t="s">
        <v>1003</v>
      </c>
      <c r="B6" s="3495" t="s">
        <v>1308</v>
      </c>
      <c r="C6" s="1205">
        <f ca="1">ROUND(F6*F8*F7*(1-F9)/10000,0)</f>
        <v>251</v>
      </c>
      <c r="D6" s="159" t="s">
        <v>2788</v>
      </c>
      <c r="E6" s="307" t="s">
        <v>1310</v>
      </c>
      <c r="F6" s="308">
        <f ca="1">INDIRECT("'数据-取费表'!u"&amp;$G$1)</f>
        <v>0.8</v>
      </c>
      <c r="G6" s="1537"/>
      <c r="H6" s="1200" t="s">
        <v>1003</v>
      </c>
      <c r="I6" s="3495" t="s">
        <v>1308</v>
      </c>
      <c r="J6" s="306">
        <f ca="1">ROUND(M6*M8*M7*(1-M9)/10000,0)</f>
        <v>0</v>
      </c>
      <c r="K6" s="159" t="s">
        <v>2787</v>
      </c>
      <c r="L6" s="307" t="s">
        <v>1310</v>
      </c>
      <c r="M6" s="308">
        <f ca="1">INDIRECT("'数据-取费表'!z"&amp;$G$1)</f>
        <v>0</v>
      </c>
    </row>
    <row r="7" spans="1:37" ht="18" customHeight="1">
      <c r="A7" s="1204"/>
      <c r="B7" s="3496"/>
      <c r="C7" s="1206"/>
      <c r="D7" s="312"/>
      <c r="E7" s="3212" t="s">
        <v>1311</v>
      </c>
      <c r="F7" s="308">
        <f ca="1">IF(INDIRECT("'数据-取费表'!ah"&amp;$G$1)="",INDIRECT("'数据-取费表'!k"&amp;$G$1),INDIRECT("'数据-取费表'!ah"&amp;$G$1))</f>
        <v>9034.9699999999993</v>
      </c>
      <c r="G7" s="1537"/>
      <c r="H7" s="309"/>
      <c r="I7" s="3496"/>
      <c r="J7" s="311"/>
      <c r="K7" s="312"/>
      <c r="L7" s="307" t="s">
        <v>1311</v>
      </c>
      <c r="M7" s="308">
        <f ca="1">F7</f>
        <v>9034.9699999999993</v>
      </c>
    </row>
    <row r="8" spans="1:37" ht="18" customHeight="1">
      <c r="A8" s="309"/>
      <c r="B8" s="3496"/>
      <c r="C8" s="311"/>
      <c r="D8" s="312"/>
      <c r="E8" s="307" t="s">
        <v>1312</v>
      </c>
      <c r="F8" s="308">
        <f ca="1">INDIRECT("'数据-取费表'!ai"&amp;$G$1)</f>
        <v>365</v>
      </c>
      <c r="G8" s="1537"/>
      <c r="H8" s="309"/>
      <c r="I8" s="3496"/>
      <c r="J8" s="311"/>
      <c r="K8" s="312"/>
      <c r="L8" s="307" t="s">
        <v>1312</v>
      </c>
      <c r="M8" s="308">
        <f ca="1">INDIRECT("'数据-取费表'!ai"&amp;$G$1)</f>
        <v>365</v>
      </c>
    </row>
    <row r="9" spans="1:37" ht="18" customHeight="1">
      <c r="A9" s="309"/>
      <c r="B9" s="3497"/>
      <c r="C9" s="311"/>
      <c r="D9" s="312"/>
      <c r="E9" s="307" t="s">
        <v>1313</v>
      </c>
      <c r="F9" s="317">
        <f ca="1">INDIRECT("'数据-取费表'!w"&amp;$G$1)</f>
        <v>0.05</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t="s">
        <v>3238</v>
      </c>
      <c r="G10" s="1537"/>
      <c r="H10" s="1200" t="s">
        <v>1007</v>
      </c>
      <c r="I10" s="1518" t="s">
        <v>1314</v>
      </c>
      <c r="J10" s="306">
        <f ca="1">ROUND(IF(M10="押一",J6/12*M11,IF(M10="押二",J6/12*2*M11,IF(M10="押三",J6/12*3*M11,J11*M11))),0)</f>
        <v>0</v>
      </c>
      <c r="K10" s="1519" t="s">
        <v>2795</v>
      </c>
      <c r="L10" s="318" t="s">
        <v>1315</v>
      </c>
      <c r="M10" s="1247" t="s">
        <v>1316</v>
      </c>
    </row>
    <row r="11" spans="1:37" ht="18" customHeight="1">
      <c r="A11" s="313"/>
      <c r="B11" s="1520" t="s">
        <v>1293</v>
      </c>
      <c r="C11" s="1089"/>
      <c r="D11" s="1521"/>
      <c r="E11" s="318" t="s">
        <v>1317</v>
      </c>
      <c r="F11" s="319">
        <f ca="1">'数据-取费表'!B39</f>
        <v>1.4999999999999999E-2</v>
      </c>
      <c r="G11" s="1537"/>
      <c r="H11" s="1208"/>
      <c r="I11" s="1520" t="s">
        <v>1293</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4291</v>
      </c>
      <c r="D13" s="3206" t="s">
        <v>1320</v>
      </c>
      <c r="E13" s="3206" t="s">
        <v>1321</v>
      </c>
      <c r="F13" s="1213">
        <f ca="1">INDIRECT("'数据-取费表'!y"&amp;$G$1)</f>
        <v>1</v>
      </c>
      <c r="G13" s="1537"/>
      <c r="H13" s="1210">
        <v>2</v>
      </c>
      <c r="I13" s="1211" t="s">
        <v>1319</v>
      </c>
      <c r="J13" s="1199">
        <f ca="1">ROUND(J14*J15,0)</f>
        <v>0</v>
      </c>
      <c r="K13" s="1218" t="s">
        <v>1320</v>
      </c>
      <c r="L13" s="1545"/>
      <c r="M13" s="1546"/>
    </row>
    <row r="14" spans="1:37" ht="18" customHeight="1">
      <c r="A14" s="1112" t="s">
        <v>1002</v>
      </c>
      <c r="B14" s="307" t="s">
        <v>1322</v>
      </c>
      <c r="C14" s="323">
        <f ca="1">INDIRECT("'数据-取费表'!m"&amp;$G$1)+INDIRECT("'数据-取费表'!t"&amp;$G$1)</f>
        <v>3162</v>
      </c>
      <c r="D14" s="3222" t="s">
        <v>1323</v>
      </c>
      <c r="E14" s="3221"/>
      <c r="F14" s="324"/>
      <c r="G14" s="1537"/>
      <c r="H14" s="1112" t="s">
        <v>1003</v>
      </c>
      <c r="I14" s="307" t="s">
        <v>1324</v>
      </c>
      <c r="J14" s="24">
        <f ca="1">C29</f>
        <v>4291</v>
      </c>
      <c r="K14" s="3210"/>
      <c r="L14" s="915"/>
      <c r="M14" s="916"/>
    </row>
    <row r="15" spans="1:37" s="1550" customFormat="1" ht="18" customHeight="1" thickBot="1">
      <c r="A15" s="1112" t="s">
        <v>1004</v>
      </c>
      <c r="B15" s="307" t="s">
        <v>1325</v>
      </c>
      <c r="C15" s="24">
        <f ca="1">ROUND(C14*F15,0)</f>
        <v>158</v>
      </c>
      <c r="D15" s="3207" t="s">
        <v>1326</v>
      </c>
      <c r="E15" s="3207"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ROUND(INDIRECT("'数据-取费表'!m"&amp;$G$1)*F16,0)</f>
        <v>0</v>
      </c>
      <c r="D16" s="307" t="s">
        <v>1326</v>
      </c>
      <c r="E16" s="307" t="s">
        <v>1327</v>
      </c>
      <c r="F16" s="327">
        <f ca="1">IF(INDIRECT("'数据-取费表'!c"&amp;$G$1)="住宅",'数据-取费表'!B34,0)</f>
        <v>0</v>
      </c>
      <c r="G16" s="1537"/>
      <c r="H16" s="1210" t="s">
        <v>998</v>
      </c>
      <c r="I16" s="1211" t="s">
        <v>1329</v>
      </c>
      <c r="J16" s="315">
        <f ca="1">ROUND(J17+J22+J23+J24,0)</f>
        <v>59</v>
      </c>
      <c r="K16" s="1218" t="s">
        <v>1330</v>
      </c>
      <c r="L16" s="3226"/>
      <c r="M16" s="1203"/>
    </row>
    <row r="17" spans="1:37" s="1550" customFormat="1" ht="18" customHeight="1">
      <c r="A17" s="1112" t="s">
        <v>1295</v>
      </c>
      <c r="B17" s="307" t="s">
        <v>1331</v>
      </c>
      <c r="C17" s="24">
        <f ca="1">ROUND(F17*(F43+INDIRECT("'数据-取费表'!S"&amp;$G$1))/10000,0)</f>
        <v>181</v>
      </c>
      <c r="D17" s="307" t="s">
        <v>1332</v>
      </c>
      <c r="E17" s="307" t="s">
        <v>1333</v>
      </c>
      <c r="F17" s="26">
        <f>'数据-取费表'!B35</f>
        <v>200</v>
      </c>
      <c r="G17" s="1549"/>
      <c r="H17" s="1112" t="s">
        <v>1003</v>
      </c>
      <c r="I17" s="307" t="s">
        <v>1334</v>
      </c>
      <c r="J17" s="2503">
        <f ca="1">ROUND(IF(AND(项目基本情况!B11="自然人",项目基本情况!B10="北京市"),J6*M17/(1+'数据-取费表'!C42),J18+J19+J20),0)</f>
        <v>37</v>
      </c>
      <c r="K17" s="3222" t="s">
        <v>1335</v>
      </c>
      <c r="L17" s="3225"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47</v>
      </c>
      <c r="D18" s="307" t="s">
        <v>1326</v>
      </c>
      <c r="E18" s="307" t="s">
        <v>1327</v>
      </c>
      <c r="F18" s="327">
        <f>'数据-取费表'!B36</f>
        <v>1.4999999999999999E-2</v>
      </c>
      <c r="G18" s="1549"/>
      <c r="H18" s="1112" t="s">
        <v>1002</v>
      </c>
      <c r="I18" s="307" t="s">
        <v>1338</v>
      </c>
      <c r="J18" s="24">
        <f ca="1">ROUND(J6*M18/(1+'数据-取费表'!C42),2)</f>
        <v>0</v>
      </c>
      <c r="K18" s="3225"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3548</v>
      </c>
      <c r="D19" s="136" t="s">
        <v>1341</v>
      </c>
      <c r="E19" s="3229"/>
      <c r="F19" s="26"/>
      <c r="G19" s="1537"/>
      <c r="H19" s="1112" t="s">
        <v>1004</v>
      </c>
      <c r="I19" s="307" t="s">
        <v>1342</v>
      </c>
      <c r="J19" s="24">
        <f ca="1">IF(K19="按租金收入计税",ROUND(J6*M19/(1+'数据-取费表'!C42),2),ROUND(C29*M19*0.7,2))</f>
        <v>36.04</v>
      </c>
      <c r="K19" s="1523" t="s">
        <v>1343</v>
      </c>
      <c r="L19" s="307" t="s">
        <v>1327</v>
      </c>
      <c r="M19" s="327">
        <f>IF(K19="按租金收入计税",'数据-取费表'!B51,'数据-取费表'!B50)</f>
        <v>1.2E-2</v>
      </c>
    </row>
    <row r="20" spans="1:37" s="1550" customFormat="1" ht="18" customHeight="1">
      <c r="A20" s="1112" t="s">
        <v>1007</v>
      </c>
      <c r="B20" s="307" t="s">
        <v>1344</v>
      </c>
      <c r="C20" s="24">
        <f ca="1">ROUND(C19*F20,0)</f>
        <v>71</v>
      </c>
      <c r="D20" s="328" t="s">
        <v>1345</v>
      </c>
      <c r="E20" s="307" t="s">
        <v>1327</v>
      </c>
      <c r="F20" s="327">
        <f>'数据-取费表'!B37</f>
        <v>0.02</v>
      </c>
      <c r="G20" s="1549"/>
      <c r="H20" s="1112" t="s">
        <v>1294</v>
      </c>
      <c r="I20" s="159" t="s">
        <v>1346</v>
      </c>
      <c r="J20" s="25">
        <f ca="1">ROUND(M20*M21/10000,2)</f>
        <v>0.7</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4681.33</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3229"/>
      <c r="F22" s="26"/>
      <c r="G22" s="1537"/>
      <c r="H22" s="1112" t="s">
        <v>1007</v>
      </c>
      <c r="I22" s="307" t="s">
        <v>1354</v>
      </c>
      <c r="J22" s="24">
        <f ca="1">ROUND(J14*M22,1)</f>
        <v>21.5</v>
      </c>
      <c r="K22" s="3225" t="s">
        <v>1355</v>
      </c>
      <c r="L22" s="307" t="s">
        <v>1327</v>
      </c>
      <c r="M22" s="333">
        <f ca="1">INDIRECT("'数据-取费表'!Ak"&amp;$G$1)</f>
        <v>5.0000000000000001E-3</v>
      </c>
    </row>
    <row r="23" spans="1:37" s="1550" customFormat="1" ht="18" customHeight="1">
      <c r="A23" s="1112" t="s">
        <v>1002</v>
      </c>
      <c r="B23" s="307" t="s">
        <v>1356</v>
      </c>
      <c r="C23" s="24">
        <f ca="1">IF('数据-取费表'!B22&lt;=1,ROUND(C19*F24*F23/2,0)+ROUND(C20*F24*F23/2,0),ROUND(C19*(POWER((1+F24),F23/2)-1),0)+ROUND(C20*(POWER((1+F24),F23/2)-1),0))</f>
        <v>172</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ROUND(J13*M23,1)</f>
        <v>0</v>
      </c>
      <c r="K23" s="3225" t="s">
        <v>1359</v>
      </c>
      <c r="L23" s="307" t="s">
        <v>1327</v>
      </c>
      <c r="M23" s="335">
        <f ca="1">INDIRECT("'数据-取费表'!Al"&amp;$G$1)</f>
        <v>5.0000000000000001E-4</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1004</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1297</v>
      </c>
      <c r="I24" s="1221" t="s">
        <v>1344</v>
      </c>
      <c r="J24" s="1222">
        <f ca="1">ROUND(J5*M24,1)</f>
        <v>0</v>
      </c>
      <c r="K24" s="1223" t="s">
        <v>1364</v>
      </c>
      <c r="L24" s="1221" t="s">
        <v>1327</v>
      </c>
      <c r="M24" s="1217">
        <f ca="1">INDIRECT("'数据-取费表'!Am"&amp;$G$1)</f>
        <v>5.0000000000000001E-3</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1365</v>
      </c>
      <c r="B25" s="307" t="s">
        <v>1366</v>
      </c>
      <c r="C25" s="24"/>
      <c r="D25" s="136" t="s">
        <v>1367</v>
      </c>
      <c r="E25" s="3229"/>
      <c r="F25" s="26"/>
      <c r="G25" s="1537"/>
      <c r="H25" s="1210" t="s">
        <v>999</v>
      </c>
      <c r="I25" s="1225" t="s">
        <v>1368</v>
      </c>
      <c r="J25" s="315">
        <f ca="1">J5-J16</f>
        <v>-59</v>
      </c>
      <c r="K25" s="1226" t="s">
        <v>1369</v>
      </c>
      <c r="L25" s="1227"/>
      <c r="M25" s="1228"/>
    </row>
    <row r="26" spans="1:37">
      <c r="A26" s="1112" t="s">
        <v>1002</v>
      </c>
      <c r="B26" s="307" t="s">
        <v>1370</v>
      </c>
      <c r="C26" s="24">
        <f ca="1">ROUND((C19+C20)*F26,0)</f>
        <v>181</v>
      </c>
      <c r="D26" s="328" t="s">
        <v>1371</v>
      </c>
      <c r="E26" s="318" t="s">
        <v>1372</v>
      </c>
      <c r="F26" s="317">
        <f ca="1">INDIRECT("'数据-取费表'!q"&amp;$G$1)</f>
        <v>0.05</v>
      </c>
      <c r="G26" s="1537"/>
      <c r="H26" s="304" t="s">
        <v>1000</v>
      </c>
      <c r="I26" s="305" t="s">
        <v>1373</v>
      </c>
      <c r="J26" s="306">
        <f ca="1">IF(J5&lt;&gt;0,ROUND(J25*(1-((1+M28)/(1+M26))^M27)/(M26-M28),0),0)</f>
        <v>0</v>
      </c>
      <c r="K26" s="329" t="s">
        <v>1374</v>
      </c>
      <c r="L26" s="307" t="s">
        <v>1375</v>
      </c>
      <c r="M26" s="317">
        <f ca="1">INDIRECT("'数据-取费表'!I"&amp;$G$1)</f>
        <v>3.5000000000000003E-2</v>
      </c>
    </row>
    <row r="27" spans="1:37" ht="18" customHeight="1">
      <c r="A27" s="1112" t="s">
        <v>1004</v>
      </c>
      <c r="B27" s="307" t="s">
        <v>1376</v>
      </c>
      <c r="C27" s="24">
        <f ca="1">ROUND(F21*F26,4)</f>
        <v>1E-3</v>
      </c>
      <c r="D27" s="328" t="s">
        <v>1377</v>
      </c>
      <c r="E27" s="3207"/>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4291</v>
      </c>
      <c r="D29" s="1223"/>
      <c r="E29" s="1221"/>
      <c r="F29" s="1224"/>
      <c r="G29" s="1549"/>
      <c r="H29" s="339" t="s">
        <v>1001</v>
      </c>
      <c r="I29" s="340" t="s">
        <v>1384</v>
      </c>
      <c r="J29" s="341">
        <f ca="1">ROUND(J26/(1+F40)^F41,0)</f>
        <v>0</v>
      </c>
      <c r="K29" s="342" t="s">
        <v>1385</v>
      </c>
      <c r="L29" s="343"/>
      <c r="M29" s="344">
        <f ca="1">INDIRECT("'数据-取费表'!k"&amp;$G$1)</f>
        <v>9034.9699999999993</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75</v>
      </c>
      <c r="D30" s="1218" t="s">
        <v>1330</v>
      </c>
      <c r="E30" s="3226"/>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50</v>
      </c>
      <c r="D31" s="3222" t="s">
        <v>1335</v>
      </c>
      <c r="E31" s="3225"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IF(项目基本情况!B11="自然人","——",ROUND(C6*F32/(1+'数据-取费表'!C42),2))</f>
        <v>13.15</v>
      </c>
      <c r="D32" s="3225"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IF(项目基本情况!B11="自然人","——",IF(D33="按租金收入计税",ROUND(C6*F33/(1+'数据-取费表'!C42),2),IF(D33="按房产原值计税",ROUND(C29*F33*0.7,2),INDIRECT("'数据-取费表'!Aj"&amp;$G$1))))</f>
        <v>36.04</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IF(项目基本情况!B11="自然人","——",ROUND(F34*F35/10000,2))</f>
        <v>0.7</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4681.33</v>
      </c>
      <c r="G35" s="1537"/>
      <c r="H35" s="2895"/>
      <c r="I35" s="1551"/>
      <c r="J35" s="1552"/>
      <c r="K35" s="2899"/>
      <c r="L35" s="2898"/>
      <c r="M35" s="2898"/>
    </row>
    <row r="36" spans="1:18" ht="18" customHeight="1">
      <c r="A36" s="1233" t="s">
        <v>1007</v>
      </c>
      <c r="B36" s="307" t="s">
        <v>1354</v>
      </c>
      <c r="C36" s="24">
        <f ca="1">ROUND(C29*F36,1)</f>
        <v>21.5</v>
      </c>
      <c r="D36" s="3225" t="s">
        <v>1387</v>
      </c>
      <c r="E36" s="307" t="s">
        <v>1327</v>
      </c>
      <c r="F36" s="333">
        <f ca="1">INDIRECT("'数据-取费表'!Ak"&amp;$G$1)</f>
        <v>5.0000000000000001E-3</v>
      </c>
      <c r="G36" s="1537"/>
      <c r="H36" s="2898"/>
      <c r="I36" s="1551"/>
      <c r="J36" s="1552"/>
      <c r="K36" s="2739"/>
      <c r="L36" s="2898"/>
      <c r="M36" s="2898"/>
    </row>
    <row r="37" spans="1:18" ht="18" customHeight="1">
      <c r="A37" s="1112" t="s">
        <v>1043</v>
      </c>
      <c r="B37" s="307" t="s">
        <v>1358</v>
      </c>
      <c r="C37" s="24">
        <f ca="1">ROUND(C13*F37,1)</f>
        <v>2.1</v>
      </c>
      <c r="D37" s="3225" t="s">
        <v>1359</v>
      </c>
      <c r="E37" s="307" t="s">
        <v>1327</v>
      </c>
      <c r="F37" s="335">
        <f ca="1">INDIRECT("'数据-取费表'!Al"&amp;$G$1)</f>
        <v>5.0000000000000001E-4</v>
      </c>
      <c r="G37" s="1537"/>
      <c r="H37" s="2898"/>
      <c r="I37" s="1551"/>
      <c r="J37" s="1552"/>
      <c r="K37" s="2739"/>
      <c r="L37" s="2898"/>
      <c r="M37" s="2898"/>
    </row>
    <row r="38" spans="1:18" ht="18" customHeight="1" thickBot="1">
      <c r="A38" s="1220" t="s">
        <v>1297</v>
      </c>
      <c r="B38" s="1221" t="s">
        <v>1344</v>
      </c>
      <c r="C38" s="1222">
        <f ca="1">ROUND(C5*F38,1)</f>
        <v>1.3</v>
      </c>
      <c r="D38" s="1223" t="s">
        <v>1364</v>
      </c>
      <c r="E38" s="1221" t="s">
        <v>1327</v>
      </c>
      <c r="F38" s="1217">
        <f ca="1">INDIRECT("'数据-取费表'!Am"&amp;$G$1)</f>
        <v>5.0000000000000001E-3</v>
      </c>
      <c r="G38" s="1537"/>
      <c r="H38" s="2898"/>
      <c r="I38" s="1551"/>
      <c r="J38" s="1552"/>
      <c r="K38" s="2902"/>
      <c r="L38" s="2898"/>
      <c r="M38" s="2898"/>
    </row>
    <row r="39" spans="1:18" ht="24.6" customHeight="1" thickTop="1">
      <c r="A39" s="1210" t="s">
        <v>999</v>
      </c>
      <c r="B39" s="1225" t="s">
        <v>1368</v>
      </c>
      <c r="C39" s="315">
        <f ca="1">C5-C30</f>
        <v>176</v>
      </c>
      <c r="D39" s="1226" t="s">
        <v>1369</v>
      </c>
      <c r="E39" s="1227"/>
      <c r="F39" s="1228"/>
      <c r="G39" s="1537"/>
      <c r="H39" s="2898"/>
      <c r="I39" s="1551"/>
      <c r="J39" s="1552"/>
      <c r="K39" s="2902"/>
      <c r="L39" s="2898"/>
      <c r="M39" s="2898"/>
    </row>
    <row r="40" spans="1:18" ht="18" customHeight="1">
      <c r="A40" s="304" t="s">
        <v>1000</v>
      </c>
      <c r="B40" s="305" t="s">
        <v>1390</v>
      </c>
      <c r="C40" s="306">
        <f ca="1">ROUND(C39*(1-((1+F42)/(1+F40))^F41)/(F40-F42),0)</f>
        <v>5434</v>
      </c>
      <c r="D40" s="329" t="s">
        <v>1374</v>
      </c>
      <c r="E40" s="307" t="s">
        <v>1375</v>
      </c>
      <c r="F40" s="317">
        <f ca="1">INDIRECT("'数据-取费表'!I"&amp;$G$1)</f>
        <v>3.5000000000000003E-2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49.25</v>
      </c>
      <c r="G41" s="1537"/>
      <c r="H41" s="1324"/>
      <c r="I41" s="1551"/>
      <c r="J41" s="1552"/>
      <c r="K41" s="2739"/>
      <c r="L41" s="1324"/>
      <c r="M41" s="1324"/>
    </row>
    <row r="42" spans="1:18" ht="18" customHeight="1">
      <c r="A42" s="313"/>
      <c r="B42" s="314"/>
      <c r="C42" s="315"/>
      <c r="D42" s="332"/>
      <c r="E42" s="307" t="s">
        <v>1382</v>
      </c>
      <c r="F42" s="317">
        <f ca="1">INDIRECT("'数据-取费表'!v"&amp;$G$1)</f>
        <v>1.4999999999999999E-2</v>
      </c>
      <c r="G42" s="1537"/>
      <c r="H42" s="1324"/>
      <c r="I42" s="1551"/>
      <c r="J42" s="1552"/>
      <c r="K42" s="2739"/>
      <c r="L42" s="1324"/>
      <c r="M42" s="1324"/>
    </row>
    <row r="43" spans="1:18" ht="18" customHeight="1" thickBot="1">
      <c r="A43" s="339" t="s">
        <v>1001</v>
      </c>
      <c r="B43" s="340" t="s">
        <v>1392</v>
      </c>
      <c r="C43" s="341">
        <f ca="1">ROUND(C40*10000/F43,0)</f>
        <v>6014</v>
      </c>
      <c r="D43" s="342" t="s">
        <v>1393</v>
      </c>
      <c r="E43" s="343" t="s">
        <v>1394</v>
      </c>
      <c r="F43" s="344">
        <f ca="1">INDIRECT("'数据-取费表'!k"&amp;$G$1)</f>
        <v>9034.9699999999993</v>
      </c>
      <c r="G43" s="1537"/>
      <c r="H43" s="1324"/>
      <c r="I43" s="1324"/>
      <c r="J43" s="1324"/>
      <c r="K43" s="2739"/>
      <c r="L43" s="1324"/>
      <c r="M43" s="1324"/>
    </row>
    <row r="44" spans="1:18" s="1537" customFormat="1" ht="18" customHeight="1">
      <c r="A44" s="1553"/>
      <c r="B44" s="1553"/>
      <c r="C44" s="1554">
        <f ca="1">C43*面积表!J20/10000</f>
        <v>11.560916931914893</v>
      </c>
      <c r="D44" s="1553"/>
      <c r="E44" s="1553"/>
      <c r="F44" s="1553"/>
      <c r="K44" s="1555"/>
    </row>
    <row r="45" spans="1:18" s="1537" customFormat="1" ht="18" customHeight="1" thickBot="1">
      <c r="A45" s="1553"/>
      <c r="B45" s="1553"/>
      <c r="C45" s="1554"/>
      <c r="D45" s="1553"/>
      <c r="E45" s="1553"/>
      <c r="F45" s="1553"/>
      <c r="J45" s="734"/>
      <c r="O45" s="2903" t="s">
        <v>1424</v>
      </c>
      <c r="P45" s="1614"/>
      <c r="Q45" s="1614"/>
      <c r="R45" s="1614"/>
    </row>
    <row r="46" spans="1:18" s="1537" customFormat="1" ht="13.5" thickBot="1">
      <c r="A46" s="1557" t="s">
        <v>1425</v>
      </c>
      <c r="C46" s="1558">
        <f ca="1">C68-C40</f>
        <v>-6857</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6" t="s">
        <v>1301</v>
      </c>
      <c r="B47" s="1108" t="s">
        <v>1302</v>
      </c>
      <c r="C47" s="1248" t="s">
        <v>1303</v>
      </c>
      <c r="D47" s="1108" t="s">
        <v>1304</v>
      </c>
      <c r="E47" s="1188" t="s">
        <v>1305</v>
      </c>
      <c r="F47" s="1189"/>
      <c r="G47" s="730"/>
      <c r="I47" s="1567" t="s">
        <v>1431</v>
      </c>
      <c r="J47" s="1568" t="s">
        <v>3243</v>
      </c>
      <c r="K47" s="1569" t="s">
        <v>1432</v>
      </c>
      <c r="L47" s="1570">
        <f ca="1">INDIRECT("'数据-取费表'!d"&amp;$G$1)</f>
        <v>50</v>
      </c>
      <c r="M47" s="1533" t="str">
        <f>IF(ISNUMBER(FIND("住宅",C1)),"住宅","非住宅")</f>
        <v>非住宅</v>
      </c>
      <c r="O47" s="1571" t="s">
        <v>1008</v>
      </c>
      <c r="P47" s="1572" t="s">
        <v>1433</v>
      </c>
      <c r="Q47" s="1573">
        <f ca="1">C40+J29</f>
        <v>5434</v>
      </c>
      <c r="R47" s="1573" t="s">
        <v>1434</v>
      </c>
    </row>
    <row r="48" spans="1:18" s="1537" customFormat="1" ht="28.5" thickBot="1">
      <c r="A48" s="1241" t="s">
        <v>1044</v>
      </c>
      <c r="B48" s="305" t="s">
        <v>1306</v>
      </c>
      <c r="C48" s="3228">
        <f ca="1">C49+C53+C55</f>
        <v>0</v>
      </c>
      <c r="D48" s="1243"/>
      <c r="E48" s="1244"/>
      <c r="F48" s="1092"/>
      <c r="G48" s="730"/>
      <c r="H48" s="731"/>
      <c r="I48" s="1574" t="s">
        <v>1435</v>
      </c>
      <c r="J48" s="1575" t="s">
        <v>3244</v>
      </c>
      <c r="K48" s="1576" t="s">
        <v>1436</v>
      </c>
      <c r="L48" s="1577">
        <f ca="1">INDIRECT("'数据-取费表'!f"&amp;$G$1)</f>
        <v>49.25</v>
      </c>
      <c r="O48" s="1571" t="s">
        <v>1009</v>
      </c>
      <c r="P48" s="1572" t="s">
        <v>1437</v>
      </c>
      <c r="Q48" s="1573" t="str">
        <f ca="1">J60</f>
        <v>0</v>
      </c>
      <c r="R48" s="1573" t="s">
        <v>1438</v>
      </c>
    </row>
    <row r="49" spans="1:18" s="1537" customFormat="1" ht="13.5" thickBot="1">
      <c r="A49" s="1105" t="s">
        <v>1045</v>
      </c>
      <c r="B49" s="1524" t="s">
        <v>1395</v>
      </c>
      <c r="C49" s="1245">
        <f ca="1">ROUND(F49*F51*F50*(1-F52)/10000,0)</f>
        <v>0</v>
      </c>
      <c r="D49" s="1185" t="s">
        <v>2787</v>
      </c>
      <c r="E49" s="1525" t="s">
        <v>1396</v>
      </c>
      <c r="F49" s="1190"/>
      <c r="G49" s="1578"/>
      <c r="H49" s="731"/>
      <c r="I49" s="1574" t="s">
        <v>1439</v>
      </c>
      <c r="J49" s="1579">
        <v>2022</v>
      </c>
      <c r="K49" s="1576" t="s">
        <v>1440</v>
      </c>
      <c r="L49" s="1580"/>
      <c r="O49" s="1581" t="s">
        <v>1010</v>
      </c>
      <c r="P49" s="1572" t="s">
        <v>1441</v>
      </c>
      <c r="Q49" s="1573">
        <f ca="1">C29</f>
        <v>4291</v>
      </c>
      <c r="R49" s="1573" t="s">
        <v>1434</v>
      </c>
    </row>
    <row r="50" spans="1:18" s="1537" customFormat="1" ht="13.5" thickBot="1">
      <c r="A50" s="1106"/>
      <c r="B50" s="1109"/>
      <c r="C50" s="1249"/>
      <c r="D50" s="1083"/>
      <c r="E50" s="1186" t="s">
        <v>1311</v>
      </c>
      <c r="F50" s="1187">
        <f ca="1">F7</f>
        <v>9034.9699999999993</v>
      </c>
      <c r="H50" s="731"/>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365</v>
      </c>
      <c r="I51" s="1585" t="s">
        <v>1445</v>
      </c>
      <c r="J51" s="1586">
        <f>IF(J49="",J50,J49+J50-YEAR('数据-取费表'!B2))</f>
        <v>60</v>
      </c>
      <c r="K51" s="1587" t="s">
        <v>1446</v>
      </c>
      <c r="L51" s="1588">
        <f ca="1">ROUND(-PV(INDIRECT("'数据-取费表'!h"&amp;$G$1),J51,(C39-C13*C76),0),0)</f>
        <v>-2567</v>
      </c>
      <c r="M51" s="1589"/>
      <c r="O51" s="1581" t="s">
        <v>1012</v>
      </c>
      <c r="P51" s="1572" t="s">
        <v>1447</v>
      </c>
      <c r="Q51" s="1584">
        <f>J52</f>
        <v>7.0000000000000007E-2</v>
      </c>
      <c r="R51" s="1573"/>
    </row>
    <row r="52" spans="1:18" s="1537" customFormat="1" ht="13.5" thickBot="1">
      <c r="A52" s="1107"/>
      <c r="B52" s="1109"/>
      <c r="C52" s="1110"/>
      <c r="D52" s="1083"/>
      <c r="E52" s="1111" t="s">
        <v>1313</v>
      </c>
      <c r="F52" s="1184"/>
      <c r="I52" s="1590" t="s">
        <v>1448</v>
      </c>
      <c r="J52" s="1591">
        <v>7.0000000000000007E-2</v>
      </c>
      <c r="K52" s="1590" t="s">
        <v>1449</v>
      </c>
      <c r="L52" s="1591"/>
      <c r="O52" s="1581" t="s">
        <v>1013</v>
      </c>
      <c r="P52" s="1572" t="s">
        <v>1450</v>
      </c>
      <c r="Q52" s="1573">
        <f ca="1">J53</f>
        <v>49.25</v>
      </c>
      <c r="R52" s="1573" t="s">
        <v>1451</v>
      </c>
    </row>
    <row r="53" spans="1:18" s="1537" customFormat="1" ht="24.75" thickBot="1">
      <c r="A53" s="1285" t="s">
        <v>1046</v>
      </c>
      <c r="B53" s="1526" t="s">
        <v>1314</v>
      </c>
      <c r="C53" s="321">
        <f ca="1">ROUND(IF(F53="押一",C49/12*F11,IF(F53="押二",C49/12*2*F11,IF(F53="押三",C49/12*3*F11,C54*F11))),0)</f>
        <v>0</v>
      </c>
      <c r="D53" s="1519" t="s">
        <v>2795</v>
      </c>
      <c r="E53" s="318" t="s">
        <v>1315</v>
      </c>
      <c r="F53" s="1247"/>
      <c r="I53" s="1592" t="s">
        <v>1452</v>
      </c>
      <c r="J53" s="2355">
        <f ca="1">IF(M47="住宅",IF(D1="——",MAX(J51,L48),MAX(J51,L48-'数据-取费表'!B24)),IF(D1="——",MIN(J51,L48),MIN(J51,L48-'数据-取费表'!B24)))</f>
        <v>49.25</v>
      </c>
      <c r="K53" s="3493" t="s">
        <v>1453</v>
      </c>
      <c r="L53" s="3494"/>
      <c r="O53" s="1571" t="s">
        <v>1014</v>
      </c>
      <c r="P53" s="1572" t="s">
        <v>1454</v>
      </c>
      <c r="Q53" s="1573">
        <f ca="1">Q47+Q48</f>
        <v>5434</v>
      </c>
      <c r="R53" s="1573" t="s">
        <v>1015</v>
      </c>
    </row>
    <row r="54" spans="1:18" s="1537" customFormat="1" ht="13.5" thickBot="1">
      <c r="A54" s="1286"/>
      <c r="B54" s="1520" t="s">
        <v>1293</v>
      </c>
      <c r="C54" s="1089"/>
      <c r="D54" s="1519"/>
      <c r="E54" s="3214"/>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4" t="s">
        <v>1043</v>
      </c>
      <c r="B55" s="1522" t="s">
        <v>1318</v>
      </c>
      <c r="C55" s="1215"/>
      <c r="D55" s="1519"/>
      <c r="E55" s="3214"/>
      <c r="F55" s="1593"/>
      <c r="I55" s="1596" t="s">
        <v>1456</v>
      </c>
      <c r="J55" s="1597" t="e">
        <f ca="1">ROUND(IF(J47="钢混",J57/J50,1-(1-2%)*(J50-J57)/J50),3)</f>
        <v>#VALUE!</v>
      </c>
      <c r="K55" s="1598" t="s">
        <v>1457</v>
      </c>
      <c r="L55" s="1599" t="s">
        <v>3246</v>
      </c>
      <c r="O55" s="1564" t="s">
        <v>1427</v>
      </c>
      <c r="P55" s="1565" t="s">
        <v>1428</v>
      </c>
      <c r="Q55" s="1566" t="s">
        <v>1429</v>
      </c>
      <c r="R55" s="1566" t="s">
        <v>1430</v>
      </c>
    </row>
    <row r="56" spans="1:18" s="1537" customFormat="1" ht="25.5" thickTop="1" thickBot="1">
      <c r="A56" s="1087">
        <v>2</v>
      </c>
      <c r="B56" s="1088" t="s">
        <v>1319</v>
      </c>
      <c r="C56" s="237">
        <f ca="1">C13</f>
        <v>4291</v>
      </c>
      <c r="D56" s="1600"/>
      <c r="E56" s="1601"/>
      <c r="F56" s="1593"/>
      <c r="I56" s="1602" t="s">
        <v>1459</v>
      </c>
      <c r="J56" s="1603" t="s">
        <v>3134</v>
      </c>
      <c r="K56" s="1574" t="s">
        <v>1460</v>
      </c>
      <c r="L56" s="1577" t="str">
        <f ca="1">IF(L48&lt;J51,"——",L48-J53)</f>
        <v>——</v>
      </c>
      <c r="O56" s="1571" t="s">
        <v>1008</v>
      </c>
      <c r="P56" s="1572" t="s">
        <v>1433</v>
      </c>
      <c r="Q56" s="1573">
        <f ca="1">C40+J29</f>
        <v>5434</v>
      </c>
      <c r="R56" s="1573" t="s">
        <v>1434</v>
      </c>
    </row>
    <row r="57" spans="1:18" s="1537" customFormat="1" ht="24.75" thickBot="1">
      <c r="A57" s="1604"/>
      <c r="B57" s="1080" t="s">
        <v>1383</v>
      </c>
      <c r="C57" s="243">
        <f ca="1">C29</f>
        <v>4291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0" t="s">
        <v>998</v>
      </c>
      <c r="B58" s="1088" t="s">
        <v>1329</v>
      </c>
      <c r="C58" s="321">
        <f ca="1">ROUND(C59+C64+C65+C66,0)</f>
        <v>61</v>
      </c>
      <c r="D58" s="1090" t="s">
        <v>1330</v>
      </c>
      <c r="E58" s="1091"/>
      <c r="F58" s="1092"/>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37</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IF(项目基本情况!B11="自然人","——",ROUND(C48*F60/(1+'数据-取费表'!C42),2))</f>
        <v>0</v>
      </c>
      <c r="D60" s="1094" t="s">
        <v>1339</v>
      </c>
      <c r="E60" s="1080" t="s">
        <v>1327</v>
      </c>
      <c r="F60" s="336">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2" t="s">
        <v>1397</v>
      </c>
      <c r="B61" s="1080" t="s">
        <v>1342</v>
      </c>
      <c r="C61" s="24">
        <f ca="1">IF(项目基本情况!B11="自然人","——",IF(D61="按租金收入计税",ROUND(C49*F61/(1+'数据-取费表'!C42),2),IF(D61="按房产原值计税",ROUND(C57*F61*0.7,2),INDIRECT("'数据-取费表'!Aj"&amp;$G$1))))</f>
        <v>36.04</v>
      </c>
      <c r="D61" s="1523" t="s">
        <v>1343</v>
      </c>
      <c r="E61" s="1080" t="s">
        <v>1327</v>
      </c>
      <c r="F61" s="327">
        <f t="shared" si="0"/>
        <v>1.2E-2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2" t="s">
        <v>1400</v>
      </c>
      <c r="B62" s="1079" t="s">
        <v>1346</v>
      </c>
      <c r="C62" s="25">
        <f ca="1">IF(项目基本情况!B11="自然人","——",ROUND(F62*F63/10000,2))</f>
        <v>0.7</v>
      </c>
      <c r="D62" s="1095" t="s">
        <v>1347</v>
      </c>
      <c r="E62" s="1080" t="s">
        <v>1348</v>
      </c>
      <c r="F62" s="330">
        <f t="shared" si="0"/>
        <v>1.5</v>
      </c>
      <c r="I62" s="1615" t="s">
        <v>1475</v>
      </c>
      <c r="J62" s="1616" t="s">
        <v>1476</v>
      </c>
      <c r="K62" s="1616" t="s">
        <v>1477</v>
      </c>
      <c r="L62" s="1616" t="s">
        <v>1478</v>
      </c>
      <c r="M62" s="1617" t="s">
        <v>1479</v>
      </c>
      <c r="O62" s="1571" t="s">
        <v>1014</v>
      </c>
      <c r="P62" s="1572" t="s">
        <v>1454</v>
      </c>
      <c r="Q62" s="1573">
        <f ca="1">Q56+Q57</f>
        <v>5434</v>
      </c>
      <c r="R62" s="1573" t="s">
        <v>1015</v>
      </c>
    </row>
    <row r="63" spans="1:18" s="1537" customFormat="1" ht="13.5" thickBot="1">
      <c r="A63" s="331"/>
      <c r="B63" s="1086"/>
      <c r="C63" s="29"/>
      <c r="D63" s="1096"/>
      <c r="E63" s="1080" t="s">
        <v>1352</v>
      </c>
      <c r="F63" s="308">
        <f t="shared" ca="1" si="0"/>
        <v>4681.33</v>
      </c>
      <c r="I63" s="1615" t="s">
        <v>1481</v>
      </c>
      <c r="J63" s="1616">
        <v>70</v>
      </c>
      <c r="K63" s="1616">
        <v>50</v>
      </c>
      <c r="L63" s="1616">
        <v>80</v>
      </c>
      <c r="M63" s="1618">
        <v>0.02</v>
      </c>
      <c r="O63" s="1556" t="s">
        <v>1482</v>
      </c>
      <c r="P63" s="1534"/>
      <c r="Q63" s="1534"/>
      <c r="R63" s="1534"/>
    </row>
    <row r="64" spans="1:18" s="1537" customFormat="1" ht="13.5" thickBot="1">
      <c r="A64" s="1112" t="s">
        <v>1007</v>
      </c>
      <c r="B64" s="1080" t="s">
        <v>1354</v>
      </c>
      <c r="C64" s="24">
        <f ca="1">ROUND(C57*F64,1)</f>
        <v>21.5</v>
      </c>
      <c r="D64" s="1094" t="s">
        <v>1387</v>
      </c>
      <c r="E64" s="1080" t="s">
        <v>1327</v>
      </c>
      <c r="F64" s="333">
        <f t="shared" ca="1" si="0"/>
        <v>5.0000000000000001E-3</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ROUND(C56*F65,1)</f>
        <v>2.1</v>
      </c>
      <c r="D65" s="1094" t="s">
        <v>1359</v>
      </c>
      <c r="E65" s="1080" t="s">
        <v>1327</v>
      </c>
      <c r="F65" s="335">
        <f t="shared" ca="1" si="0"/>
        <v>5.0000000000000001E-4</v>
      </c>
      <c r="I65" s="1615" t="s">
        <v>1484</v>
      </c>
      <c r="J65" s="1616">
        <v>40</v>
      </c>
      <c r="K65" s="1616">
        <v>30</v>
      </c>
      <c r="L65" s="1616">
        <v>50</v>
      </c>
      <c r="M65" s="1618">
        <v>0.02</v>
      </c>
      <c r="O65" s="1571" t="s">
        <v>1008</v>
      </c>
      <c r="P65" s="1572" t="s">
        <v>1433</v>
      </c>
      <c r="Q65" s="1573">
        <f ca="1">C40+J29</f>
        <v>5434</v>
      </c>
      <c r="R65" s="1573" t="s">
        <v>1434</v>
      </c>
    </row>
    <row r="66" spans="1:18" s="1537" customFormat="1" ht="16.5" thickBot="1">
      <c r="A66" s="1112" t="s">
        <v>1409</v>
      </c>
      <c r="B66" s="1080" t="s">
        <v>1344</v>
      </c>
      <c r="C66" s="24">
        <f ca="1">ROUND(C48*F66,1)</f>
        <v>0</v>
      </c>
      <c r="D66" s="1094" t="s">
        <v>1364</v>
      </c>
      <c r="E66" s="1080" t="s">
        <v>1327</v>
      </c>
      <c r="F66" s="317">
        <f t="shared" ca="1" si="0"/>
        <v>5.0000000000000001E-3</v>
      </c>
      <c r="O66" s="1571" t="s">
        <v>1009</v>
      </c>
      <c r="P66" s="1572" t="s">
        <v>1463</v>
      </c>
      <c r="Q66" s="1573">
        <f ca="1">L60</f>
        <v>0</v>
      </c>
      <c r="R66" s="1573" t="s">
        <v>1486</v>
      </c>
    </row>
    <row r="67" spans="1:18" s="1537" customFormat="1" ht="16.5" thickBot="1">
      <c r="A67" s="1087" t="s">
        <v>999</v>
      </c>
      <c r="B67" s="1097" t="s">
        <v>1368</v>
      </c>
      <c r="C67" s="321">
        <f ca="1">C48-C58</f>
        <v>-61</v>
      </c>
      <c r="D67" s="1093" t="s">
        <v>1369</v>
      </c>
      <c r="E67" s="1098"/>
      <c r="F67" s="1099"/>
      <c r="O67" s="1581" t="s">
        <v>1010</v>
      </c>
      <c r="P67" s="1572" t="s">
        <v>1467</v>
      </c>
      <c r="Q67" s="1619">
        <f ca="1">L51</f>
        <v>-2567</v>
      </c>
      <c r="R67" s="1573" t="s">
        <v>1487</v>
      </c>
    </row>
    <row r="68" spans="1:18" s="1537" customFormat="1" ht="16.5" thickBot="1">
      <c r="A68" s="1077" t="s">
        <v>1000</v>
      </c>
      <c r="B68" s="1078" t="s">
        <v>1390</v>
      </c>
      <c r="C68" s="306">
        <f ca="1">ROUND(C67*(1-((1+F70)/(1+F68))^F69)/(F68-F70),0)</f>
        <v>-1423</v>
      </c>
      <c r="D68" s="1095" t="s">
        <v>1374</v>
      </c>
      <c r="E68" s="1080" t="s">
        <v>1375</v>
      </c>
      <c r="F68" s="317">
        <f ca="1">F40</f>
        <v>3.5000000000000003E-2</v>
      </c>
      <c r="O68" s="1581" t="s">
        <v>1011</v>
      </c>
      <c r="P68" s="1620" t="s">
        <v>1488</v>
      </c>
      <c r="Q68" s="1573">
        <f ca="1">ROUND(Q69-Q70*Q71,0)</f>
        <v>-103</v>
      </c>
      <c r="R68" s="1573" t="s">
        <v>1019</v>
      </c>
    </row>
    <row r="69" spans="1:18" s="1537" customFormat="1" ht="13.5" thickBot="1">
      <c r="A69" s="1081"/>
      <c r="B69" s="1082"/>
      <c r="C69" s="311"/>
      <c r="D69" s="1100" t="s">
        <v>1378</v>
      </c>
      <c r="E69" s="1080" t="s">
        <v>1379</v>
      </c>
      <c r="F69" s="338">
        <f ca="1">F41</f>
        <v>49.25</v>
      </c>
      <c r="O69" s="1581" t="s">
        <v>1016</v>
      </c>
      <c r="P69" s="1620" t="s">
        <v>1489</v>
      </c>
      <c r="Q69" s="1573">
        <f ca="1">C39</f>
        <v>176</v>
      </c>
      <c r="R69" s="1573" t="s">
        <v>1434</v>
      </c>
    </row>
    <row r="70" spans="1:18" s="1537" customFormat="1" ht="13.5" thickBot="1">
      <c r="A70" s="1084"/>
      <c r="B70" s="1085"/>
      <c r="C70" s="315"/>
      <c r="D70" s="1096"/>
      <c r="E70" s="1080" t="s">
        <v>1382</v>
      </c>
      <c r="F70" s="1184"/>
      <c r="O70" s="1581" t="s">
        <v>1017</v>
      </c>
      <c r="P70" s="1620" t="s">
        <v>1490</v>
      </c>
      <c r="Q70" s="1573">
        <f ca="1">C13</f>
        <v>4291</v>
      </c>
      <c r="R70" s="1573" t="s">
        <v>1434</v>
      </c>
    </row>
    <row r="71" spans="1:18" s="1537" customFormat="1" ht="13.5" thickBot="1">
      <c r="A71" s="1101" t="s">
        <v>1001</v>
      </c>
      <c r="B71" s="1102" t="s">
        <v>1392</v>
      </c>
      <c r="C71" s="341">
        <f ca="1">ROUND(C68*10000/F71,0)</f>
        <v>-1575</v>
      </c>
      <c r="D71" s="1103" t="s">
        <v>1393</v>
      </c>
      <c r="E71" s="1104" t="s">
        <v>1394</v>
      </c>
      <c r="F71" s="344">
        <f ca="1">F43</f>
        <v>9034.9699999999993</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5" t="s">
        <v>1411</v>
      </c>
      <c r="C75" s="346">
        <f ca="1">ROUND(C13*C76,0)</f>
        <v>279</v>
      </c>
      <c r="D75" s="1537"/>
      <c r="E75" s="1537"/>
      <c r="F75" s="1537"/>
      <c r="K75" s="1555"/>
      <c r="L75" s="1537"/>
      <c r="O75" s="1571" t="s">
        <v>1014</v>
      </c>
      <c r="P75" s="1572" t="s">
        <v>1454</v>
      </c>
      <c r="Q75" s="1573">
        <f ca="1">Q65+Q66</f>
        <v>5434</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f ca="1">1-C80</f>
        <v>-0.58499999999999996</v>
      </c>
    </row>
    <row r="80" spans="1:18">
      <c r="B80" s="345" t="s">
        <v>1416</v>
      </c>
      <c r="C80" s="279">
        <f ca="1">ROUND(C75/C39,3)</f>
        <v>1.585</v>
      </c>
    </row>
    <row r="81" spans="2:3">
      <c r="B81" s="275" t="s">
        <v>1417</v>
      </c>
      <c r="C81" s="243"/>
    </row>
    <row r="82" spans="2:3">
      <c r="B82" s="278" t="s">
        <v>1418</v>
      </c>
      <c r="C82" s="280">
        <f ca="1">1-C83</f>
        <v>0.20999999999999996</v>
      </c>
    </row>
    <row r="83" spans="2:3">
      <c r="B83" s="278" t="s">
        <v>1419</v>
      </c>
      <c r="C83" s="279">
        <f ca="1">ROUND(C13/C40,3)</f>
        <v>0.79</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D1" xr:uid="{00000000-0002-0000-1A00-000000000000}">
      <formula1>"在建（套用方法）,土地（套用方法）,——"</formula1>
    </dataValidation>
    <dataValidation type="list" allowBlank="1" showInputMessage="1" showErrorMessage="1" sqref="M10 F10 F53" xr:uid="{00000000-0002-0000-1A00-000001000000}">
      <formula1>"押一,押二,押三,自定义"</formula1>
    </dataValidation>
    <dataValidation type="list" allowBlank="1" showInputMessage="1" showErrorMessage="1" sqref="L55" xr:uid="{00000000-0002-0000-1A00-000002000000}">
      <formula1>"比较法,基准地价,收益还原"</formula1>
    </dataValidation>
    <dataValidation type="list" allowBlank="1" showInputMessage="1" showErrorMessage="1" sqref="J56" xr:uid="{00000000-0002-0000-1A00-000003000000}">
      <formula1>判定</formula1>
    </dataValidation>
    <dataValidation type="list" allowBlank="1" showInputMessage="1" showErrorMessage="1" sqref="J48" xr:uid="{00000000-0002-0000-1A00-000004000000}">
      <formula1>"非生产用房,生产用房,受腐蚀的生产用房"</formula1>
    </dataValidation>
    <dataValidation type="list" allowBlank="1" showInputMessage="1" showErrorMessage="1" sqref="J47" xr:uid="{00000000-0002-0000-1A00-000005000000}">
      <formula1>"钢,钢混,砖混"</formula1>
    </dataValidation>
    <dataValidation type="list" allowBlank="1" showInputMessage="1" showErrorMessage="1" sqref="C1" xr:uid="{00000000-0002-0000-1A00-000006000000}">
      <formula1>项目类型</formula1>
    </dataValidation>
    <dataValidation type="list" allowBlank="1" showInputMessage="1" showErrorMessage="1" sqref="D33 D61" xr:uid="{00000000-0002-0000-1A00-000007000000}">
      <formula1>"按租金收入计税,按房产原值计税,按票据"</formula1>
    </dataValidation>
    <dataValidation type="list" allowBlank="1" showInputMessage="1" showErrorMessage="1" sqref="K19" xr:uid="{00000000-0002-0000-1A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
  <sheetViews>
    <sheetView workbookViewId="0">
      <selection activeCell="O51" sqref="O51"/>
    </sheetView>
  </sheetViews>
  <sheetFormatPr defaultRowHeight="13.5"/>
  <sheetData/>
  <phoneticPr fontId="14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I57"/>
  <sheetViews>
    <sheetView view="pageBreakPreview" topLeftCell="A37" zoomScale="90" zoomScaleNormal="70" zoomScaleSheetLayoutView="90" workbookViewId="0">
      <selection activeCell="F21" sqref="F21"/>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3" t="s">
        <v>3137</v>
      </c>
      <c r="C1" s="203"/>
      <c r="D1" s="203"/>
      <c r="E1" s="203"/>
      <c r="F1" s="203"/>
      <c r="G1" s="1259">
        <f>MATCH(B1,'数据-取费表'!A6:A16,0)+5</f>
        <v>7</v>
      </c>
    </row>
    <row r="2" spans="1:9" s="205" customFormat="1" ht="18" customHeight="1">
      <c r="A2" s="206" t="s">
        <v>2088</v>
      </c>
      <c r="B2" s="207">
        <f ca="1">IF(D2="——",C52,C52-E2)</f>
        <v>8949</v>
      </c>
      <c r="C2" s="204" t="s">
        <v>2089</v>
      </c>
      <c r="D2" s="2008" t="s">
        <v>70</v>
      </c>
      <c r="E2" s="1302" t="e">
        <f ca="1">SUMIF(INDIRECT("'"&amp;G2&amp;"'"&amp;"!A:A"),"承租人权益价值",INDIRECT("'"&amp;G2&amp;"'"&amp;"!c:c"))</f>
        <v>#REF!</v>
      </c>
      <c r="F2" s="2009" t="s">
        <v>2089</v>
      </c>
      <c r="G2" s="2010"/>
    </row>
    <row r="3" spans="1:9" s="205" customFormat="1" ht="18" customHeight="1" thickBot="1">
      <c r="A3" s="208" t="s">
        <v>2090</v>
      </c>
      <c r="B3" s="209">
        <f ca="1">ROUND(B2*10000/(IF(B1="",'数据-汇总表'!E3,INDIRECT("'数据-取费表'!k"&amp;$G$1))),0)</f>
        <v>9905</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3505</v>
      </c>
      <c r="D5" s="216" t="s">
        <v>2095</v>
      </c>
      <c r="E5" s="217" t="s">
        <v>2096</v>
      </c>
      <c r="F5" s="217" t="s">
        <v>2097</v>
      </c>
      <c r="G5" s="218"/>
    </row>
    <row r="6" spans="1:9" s="219" customFormat="1" ht="13.5" customHeight="1">
      <c r="A6" s="885" t="s">
        <v>2098</v>
      </c>
      <c r="B6" s="220" t="s">
        <v>2099</v>
      </c>
      <c r="C6" s="221">
        <f>基准地价修正!E38</f>
        <v>3401</v>
      </c>
      <c r="D6" s="222"/>
      <c r="E6" s="223"/>
      <c r="F6" s="223"/>
      <c r="G6" s="224"/>
    </row>
    <row r="7" spans="1:9" s="219" customFormat="1" ht="13.5" customHeight="1">
      <c r="A7" s="885" t="s">
        <v>2100</v>
      </c>
      <c r="B7" s="220" t="s">
        <v>2101</v>
      </c>
      <c r="C7" s="225">
        <f>ROUND(C6*F7,0)</f>
        <v>104</v>
      </c>
      <c r="D7" s="225"/>
      <c r="E7" s="223"/>
      <c r="F7" s="226">
        <f>IF(项目基本情况!B8="出让",0,'数据-取费表'!B48+'数据-取费表'!B49)</f>
        <v>3.0499999999999999E-2</v>
      </c>
      <c r="G7" s="224"/>
    </row>
    <row r="8" spans="1:9" s="228" customFormat="1">
      <c r="A8" s="885" t="s">
        <v>2102</v>
      </c>
      <c r="B8" s="220" t="s">
        <v>2103</v>
      </c>
      <c r="C8" s="225" t="str">
        <f>IF(G8="已包含在土地购买价格中","0",IF(B1="",'数据-取费表'!B29,IF(G9="全部缴纳",C9+C10,H9)))</f>
        <v>0</v>
      </c>
      <c r="D8" s="227"/>
      <c r="E8" s="225"/>
      <c r="F8" s="226"/>
      <c r="G8" s="2011" t="s">
        <v>1057</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160</v>
      </c>
      <c r="F9" s="226"/>
      <c r="G9" s="2012"/>
      <c r="H9" s="1270"/>
      <c r="I9" s="2013" t="s">
        <v>2105</v>
      </c>
    </row>
    <row r="10" spans="1:9" s="219" customFormat="1" ht="13.5" customHeight="1">
      <c r="A10" s="886" t="s">
        <v>801</v>
      </c>
      <c r="B10" s="229" t="s">
        <v>2106</v>
      </c>
      <c r="C10" s="230">
        <f ca="1">ROUND(D10*E10/10000,0)</f>
        <v>181</v>
      </c>
      <c r="D10" s="953">
        <f ca="1">IF(B1="",'数据-汇总表'!E6,IF(INDIRECT("'数据-取费表'!c"&amp;$G$1)="住宅",INDIRECT("'数据-取费表'!s"&amp;$G$1),INDIRECT("'数据-取费表'!k"&amp;$G$1)+INDIRECT("'数据-取费表'!s"&amp;$G$1)))</f>
        <v>9034.9699999999993</v>
      </c>
      <c r="E10" s="230">
        <f>'数据-取费表'!B28</f>
        <v>200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7" s="219" customFormat="1" ht="13.5" hidden="1" customHeight="1">
      <c r="A17" s="232" t="s">
        <v>13</v>
      </c>
      <c r="B17" s="220" t="s">
        <v>2114</v>
      </c>
      <c r="C17" s="234"/>
      <c r="D17" s="956"/>
      <c r="E17" s="234"/>
      <c r="F17" s="234"/>
      <c r="G17" s="224" t="s">
        <v>2113</v>
      </c>
    </row>
    <row r="18" spans="1:7" s="219" customFormat="1" ht="13.5" hidden="1" customHeight="1">
      <c r="A18" s="232" t="s">
        <v>14</v>
      </c>
      <c r="B18" s="220" t="s">
        <v>2115</v>
      </c>
      <c r="C18" s="225">
        <v>0</v>
      </c>
      <c r="D18" s="955"/>
      <c r="E18" s="223"/>
      <c r="F18" s="226">
        <v>3.0499999999999999E-2</v>
      </c>
      <c r="G18" s="224" t="s">
        <v>2116</v>
      </c>
    </row>
    <row r="19" spans="1:7" s="228" customFormat="1" ht="13.5" customHeight="1">
      <c r="A19" s="260" t="s">
        <v>2117</v>
      </c>
      <c r="B19" s="215" t="s">
        <v>2118</v>
      </c>
      <c r="C19" s="216">
        <f ca="1">IF(G19="已包含在土地取得成本中","0",ROUND(D19*E19/10000,0))</f>
        <v>181</v>
      </c>
      <c r="D19" s="957">
        <f ca="1">D9+D10</f>
        <v>9034.9699999999993</v>
      </c>
      <c r="E19" s="216">
        <f>'数据-取费表'!B31</f>
        <v>200</v>
      </c>
      <c r="F19" s="236"/>
      <c r="G19" s="2011" t="s">
        <v>1042</v>
      </c>
    </row>
    <row r="20" spans="1:7" s="219" customFormat="1" ht="13.5" customHeight="1">
      <c r="A20" s="260" t="s">
        <v>2119</v>
      </c>
      <c r="B20" s="215" t="s">
        <v>2120</v>
      </c>
      <c r="C20" s="237">
        <f ca="1">ROUND((C5+C19)*F20,0)</f>
        <v>74</v>
      </c>
      <c r="D20" s="237"/>
      <c r="E20" s="237"/>
      <c r="F20" s="238">
        <f>'数据-取费表'!B37</f>
        <v>0.02</v>
      </c>
      <c r="G20" s="239" t="s">
        <v>2121</v>
      </c>
    </row>
    <row r="21" spans="1:7" s="219" customFormat="1" ht="13.5" customHeight="1">
      <c r="A21" s="260" t="s">
        <v>2122</v>
      </c>
      <c r="B21" s="215" t="s">
        <v>2123</v>
      </c>
      <c r="C21" s="240">
        <f>F21</f>
        <v>0.02</v>
      </c>
      <c r="D21" s="241" t="s">
        <v>2124</v>
      </c>
      <c r="E21" s="237"/>
      <c r="F21" s="238">
        <f>'数据-取费表'!B38</f>
        <v>0.02</v>
      </c>
      <c r="G21" s="239" t="s">
        <v>2125</v>
      </c>
    </row>
    <row r="22" spans="1:7" s="219" customFormat="1" ht="13.5" customHeight="1">
      <c r="A22" s="260" t="s">
        <v>2126</v>
      </c>
      <c r="B22" s="215" t="s">
        <v>2127</v>
      </c>
      <c r="C22" s="1235">
        <f ca="1">ROUND(SUM(C23:C25),0)</f>
        <v>363</v>
      </c>
      <c r="D22" s="240">
        <f>C26</f>
        <v>1E-3</v>
      </c>
      <c r="E22" s="241" t="s">
        <v>2124</v>
      </c>
      <c r="F22" s="242">
        <f>'数据-取费表'!B40</f>
        <v>4.7500000000000001E-2</v>
      </c>
      <c r="G22" s="239" t="str">
        <f>IF('数据-取费表'!B22&lt;=1,"单利计息","复利计息")</f>
        <v>复利计息</v>
      </c>
    </row>
    <row r="23" spans="1:7" s="219" customFormat="1" ht="13.5" customHeight="1">
      <c r="A23" s="887" t="s">
        <v>2128</v>
      </c>
      <c r="B23" s="220" t="s">
        <v>2129</v>
      </c>
      <c r="C23" s="1236">
        <f>ROUND(IF('数据-取费表'!B22&lt;=1,C5*F22*'数据-取费表'!B23,C5*(POWER((1+F22),'数据-取费表'!B23)-1)),0)</f>
        <v>341</v>
      </c>
      <c r="D23" s="243"/>
      <c r="E23" s="243"/>
      <c r="F23" s="244"/>
      <c r="G23" s="245" t="s">
        <v>2130</v>
      </c>
    </row>
    <row r="24" spans="1:7" s="219" customFormat="1" ht="13.5" customHeight="1">
      <c r="A24" s="887" t="s">
        <v>2131</v>
      </c>
      <c r="B24" s="220" t="s">
        <v>2132</v>
      </c>
      <c r="C24" s="1236">
        <f ca="1">ROUND(IF('数据-取费表'!B22&lt;=1,C19*F22*('数据-取费表'!B19/2+'数据-取费表'!B21),C19*(POWER((1+F22),('数据-取费表'!B19/2+'数据-取费表'!B21))-1)),0)</f>
        <v>18</v>
      </c>
      <c r="D24" s="243"/>
      <c r="E24" s="243"/>
      <c r="F24" s="244"/>
      <c r="G24" s="245" t="s">
        <v>2133</v>
      </c>
    </row>
    <row r="25" spans="1:7" s="219" customFormat="1" ht="24">
      <c r="A25" s="887" t="s">
        <v>2134</v>
      </c>
      <c r="B25" s="220" t="s">
        <v>2135</v>
      </c>
      <c r="C25" s="1236">
        <f ca="1">ROUND(IF('数据-取费表'!B22&lt;=1,C20*F22*'数据-取费表'!B23/2,C20*(POWER((1+F22),'数据-取费表'!B23/2)-1)),0)</f>
        <v>4</v>
      </c>
      <c r="D25" s="243"/>
      <c r="E25" s="246"/>
      <c r="F25" s="244"/>
      <c r="G25" s="247" t="s">
        <v>2136</v>
      </c>
    </row>
    <row r="26" spans="1:7" s="219" customFormat="1">
      <c r="A26" s="887" t="s">
        <v>795</v>
      </c>
      <c r="B26" s="220" t="s">
        <v>2137</v>
      </c>
      <c r="C26" s="243">
        <f>ROUND(IF('数据-取费表'!B22&lt;=1,F21*F22*'数据-取费表'!B23/2,F21*(POWER((1+F22),'数据-取费表'!B23/2)-1)),4)</f>
        <v>1E-3</v>
      </c>
      <c r="D26" s="243"/>
      <c r="E26" s="246"/>
      <c r="F26" s="244"/>
      <c r="G26" s="248"/>
    </row>
    <row r="27" spans="1:7" s="219" customFormat="1" ht="24.75">
      <c r="A27" s="260" t="s">
        <v>2138</v>
      </c>
      <c r="B27" s="249" t="s">
        <v>2139</v>
      </c>
      <c r="C27" s="250">
        <f ca="1">C28</f>
        <v>188</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ROUND((C5+C19+C20)*F27*'数据-取费表'!B21/'数据-取费表'!B20,0)</f>
        <v>188</v>
      </c>
      <c r="D28" s="240"/>
      <c r="E28" s="241"/>
      <c r="F28" s="251"/>
      <c r="G28" s="252"/>
    </row>
    <row r="29" spans="1:7" s="219" customFormat="1" ht="13.5" customHeight="1">
      <c r="A29" s="887" t="s">
        <v>792</v>
      </c>
      <c r="B29" s="253" t="s">
        <v>2143</v>
      </c>
      <c r="C29" s="243">
        <f ca="1">ROUND(C21*F27*'数据-取费表'!B21/'数据-取费表'!B20,4)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4658</v>
      </c>
      <c r="D31" s="235"/>
      <c r="E31" s="216"/>
      <c r="F31" s="255"/>
      <c r="G31" s="239" t="s">
        <v>2148</v>
      </c>
    </row>
    <row r="32" spans="1:7" s="213" customFormat="1" ht="15.75">
      <c r="A32" s="257" t="s">
        <v>2149</v>
      </c>
      <c r="B32" s="258"/>
      <c r="C32" s="258"/>
      <c r="D32" s="258"/>
      <c r="E32" s="258"/>
      <c r="F32" s="258"/>
      <c r="G32" s="259"/>
    </row>
    <row r="33" spans="1:7" s="219" customFormat="1" ht="13.5" customHeight="1">
      <c r="A33" s="260" t="s">
        <v>782</v>
      </c>
      <c r="B33" s="215" t="s">
        <v>2150</v>
      </c>
      <c r="C33" s="261">
        <f ca="1">SUM(C34:C38)</f>
        <v>3548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3162</v>
      </c>
      <c r="D34" s="222"/>
      <c r="E34" s="225"/>
      <c r="F34" s="262">
        <f ca="1">IF('数据-取费表'!B24=0,1,IF(B1="",'数据-取费表'!N16,INDIRECT("'数据-取费表'!n"&amp;$G$1)))</f>
        <v>1</v>
      </c>
      <c r="G34" s="224" t="s">
        <v>2152</v>
      </c>
    </row>
    <row r="35" spans="1:7" ht="13.5" customHeight="1">
      <c r="A35" s="887" t="s">
        <v>796</v>
      </c>
      <c r="B35" s="220" t="s">
        <v>2153</v>
      </c>
      <c r="C35" s="225">
        <f ca="1">ROUND(C34*F35,0)</f>
        <v>158</v>
      </c>
      <c r="D35" s="225"/>
      <c r="E35" s="225"/>
      <c r="F35" s="264">
        <f>'数据-取费表'!B33</f>
        <v>0.05</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2156</v>
      </c>
    </row>
    <row r="37" spans="1:7" s="263" customFormat="1" ht="13.5" customHeight="1">
      <c r="A37" s="887" t="s">
        <v>798</v>
      </c>
      <c r="B37" s="220" t="s">
        <v>2157</v>
      </c>
      <c r="C37" s="254">
        <f ca="1">ROUND(E37*D37*F34/10000,0)</f>
        <v>181</v>
      </c>
      <c r="D37" s="222">
        <f ca="1">D19</f>
        <v>9034.9699999999993</v>
      </c>
      <c r="E37" s="254">
        <f>'数据-取费表'!B35</f>
        <v>200</v>
      </c>
      <c r="F37" s="264"/>
      <c r="G37" s="266" t="s">
        <v>2158</v>
      </c>
    </row>
    <row r="38" spans="1:7" ht="13.5" customHeight="1">
      <c r="A38" s="887" t="s">
        <v>799</v>
      </c>
      <c r="B38" s="220" t="s">
        <v>2159</v>
      </c>
      <c r="C38" s="225">
        <f ca="1">ROUND(C34*F38,0)</f>
        <v>47</v>
      </c>
      <c r="D38" s="225"/>
      <c r="E38" s="225"/>
      <c r="F38" s="264">
        <f>'数据-取费表'!B36</f>
        <v>1.4999999999999999E-2</v>
      </c>
      <c r="G38" s="224" t="s">
        <v>2154</v>
      </c>
    </row>
    <row r="39" spans="1:7" s="219" customFormat="1" ht="13.5" customHeight="1">
      <c r="A39" s="260" t="s">
        <v>2160</v>
      </c>
      <c r="B39" s="215" t="s">
        <v>2161</v>
      </c>
      <c r="C39" s="237">
        <f ca="1">ROUND(C33*F20,0)</f>
        <v>71</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172</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169</v>
      </c>
      <c r="D42" s="243"/>
      <c r="E42" s="243"/>
      <c r="F42" s="244"/>
      <c r="G42" s="3500" t="s">
        <v>2170</v>
      </c>
    </row>
    <row r="43" spans="1:7" ht="13.5" customHeight="1">
      <c r="A43" s="887" t="s">
        <v>792</v>
      </c>
      <c r="B43" s="220" t="s">
        <v>2171</v>
      </c>
      <c r="C43" s="243">
        <f ca="1">ROUND(IF('数据-取费表'!B22&lt;=1,C39*F22*'数据-取费表'!B21/2,C39*(POWER((1+F22),'数据-取费表'!B21/2)-1)),0)</f>
        <v>3</v>
      </c>
      <c r="D43" s="243"/>
      <c r="E43" s="243"/>
      <c r="F43" s="244"/>
      <c r="G43" s="3501"/>
    </row>
    <row r="44" spans="1:7" ht="13.5" customHeight="1">
      <c r="A44" s="887" t="s">
        <v>793</v>
      </c>
      <c r="B44" s="220" t="s">
        <v>2172</v>
      </c>
      <c r="C44" s="243">
        <f>ROUND(IF('数据-取费表'!B22&lt;=1,C40*F22*'数据-取费表'!B21/2,C40*(POWER((1+F22),'数据-取费表'!B21/2)-1)),4)</f>
        <v>1E-3</v>
      </c>
      <c r="D44" s="243"/>
      <c r="E44" s="243"/>
      <c r="F44" s="244"/>
      <c r="G44" s="3502"/>
    </row>
    <row r="45" spans="1:7" s="219" customFormat="1" ht="13.5" customHeight="1">
      <c r="A45" s="260" t="s">
        <v>2173</v>
      </c>
      <c r="B45" s="249" t="s">
        <v>2139</v>
      </c>
      <c r="C45" s="250">
        <f ca="1">C46</f>
        <v>181</v>
      </c>
      <c r="D45" s="240">
        <f ca="1">C47</f>
        <v>1E-3</v>
      </c>
      <c r="E45" s="241" t="s">
        <v>2165</v>
      </c>
      <c r="F45" s="2506">
        <f ca="1">F27</f>
        <v>0.05</v>
      </c>
      <c r="G45" s="252" t="s">
        <v>2174</v>
      </c>
    </row>
    <row r="46" spans="1:7" s="219" customFormat="1" ht="13.5" customHeight="1">
      <c r="A46" s="887" t="s">
        <v>791</v>
      </c>
      <c r="B46" s="253" t="s">
        <v>2175</v>
      </c>
      <c r="C46" s="254">
        <f ca="1">ROUND((C33+C39)*F27,0)</f>
        <v>181</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6">
        <f>ROUND(F30/(1+'数据-取费表'!C42),4)</f>
        <v>5.2400000000000002E-2</v>
      </c>
      <c r="D48" s="241" t="s">
        <v>2165</v>
      </c>
      <c r="E48" s="237"/>
      <c r="F48" s="2505">
        <f>F30</f>
        <v>5.5000000000000007E-2</v>
      </c>
      <c r="G48" s="239" t="s">
        <v>2178</v>
      </c>
    </row>
    <row r="49" spans="1:7" ht="16.5" customHeight="1">
      <c r="A49" s="260" t="s">
        <v>2144</v>
      </c>
      <c r="B49" s="215" t="s">
        <v>2179</v>
      </c>
      <c r="C49" s="237">
        <f ca="1">ROUND((C33+C39+C41+C45)/(1-C40-D41-D45-C48),0)</f>
        <v>4291</v>
      </c>
      <c r="D49" s="237"/>
      <c r="E49" s="237"/>
      <c r="F49" s="269"/>
      <c r="G49" s="239" t="s">
        <v>2180</v>
      </c>
    </row>
    <row r="50" spans="1:7" s="263" customFormat="1" ht="24">
      <c r="A50" s="260" t="s">
        <v>2181</v>
      </c>
      <c r="B50" s="215" t="s">
        <v>2182</v>
      </c>
      <c r="C50" s="237"/>
      <c r="D50" s="237"/>
      <c r="E50" s="237"/>
      <c r="F50" s="269">
        <f>IF('数据-取费表'!B24=0,'数据-取费表'!N16,1)</f>
        <v>1</v>
      </c>
      <c r="G50" s="252" t="s">
        <v>2183</v>
      </c>
    </row>
    <row r="51" spans="1:7" ht="16.5" customHeight="1">
      <c r="A51" s="260" t="s">
        <v>2184</v>
      </c>
      <c r="B51" s="215" t="s">
        <v>2185</v>
      </c>
      <c r="C51" s="237">
        <f ca="1">ROUND(C49*F50,0)</f>
        <v>4291</v>
      </c>
      <c r="D51" s="237"/>
      <c r="E51" s="237"/>
      <c r="F51" s="269"/>
      <c r="G51" s="239" t="s">
        <v>2186</v>
      </c>
    </row>
    <row r="52" spans="1:7" s="213" customFormat="1" ht="16.5" thickBot="1">
      <c r="A52" s="270" t="s">
        <v>2187</v>
      </c>
      <c r="B52" s="271"/>
      <c r="C52" s="272">
        <f ca="1">C31+C51</f>
        <v>8949</v>
      </c>
      <c r="D52" s="271"/>
      <c r="E52" s="271"/>
      <c r="F52" s="271"/>
      <c r="G52" s="273"/>
    </row>
    <row r="55" spans="1:7" ht="15">
      <c r="B55" s="275" t="s">
        <v>2188</v>
      </c>
      <c r="C55" s="276"/>
    </row>
    <row r="56" spans="1:7">
      <c r="B56" s="278" t="s">
        <v>1418</v>
      </c>
      <c r="C56" s="280">
        <f ca="1">1-C57</f>
        <v>0.52100000000000002</v>
      </c>
    </row>
    <row r="57" spans="1:7">
      <c r="B57" s="278" t="s">
        <v>1419</v>
      </c>
      <c r="C57" s="279">
        <f ca="1">ROUND(C51/C52,3)</f>
        <v>0.47899999999999998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9" xr:uid="{00000000-0002-0000-1C00-000003000000}">
      <formula1>"部分缴纳,全部缴纳"</formula1>
    </dataValidation>
    <dataValidation type="list" allowBlank="1" showInputMessage="1" showErrorMessage="1" sqref="G2" xr:uid="{00000000-0002-0000-1C00-000004000000}">
      <formula1>估价方法</formula1>
    </dataValidation>
    <dataValidation type="list" allowBlank="1" showInputMessage="1" showErrorMessage="1" sqref="D2" xr:uid="{00000000-0002-0000-1C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估价对象为北京市房地产，为所有。根据《国有土地使用证》[]，估价对象（分摊）出让国有建设用地使用权面积为10785.07平方米，建筑面积为20815.18平方米。</v>
      </c>
    </row>
    <row r="8" spans="1:1" ht="57.75">
      <c r="A8" s="1637" t="s">
        <v>1519</v>
      </c>
    </row>
    <row r="9" spans="1:1" ht="18.75">
      <c r="A9" s="1636" t="s">
        <v>1520</v>
      </c>
    </row>
    <row r="10" spans="1:1" ht="54">
      <c r="A10" s="1634" t="str">
        <f>"估价对象为"&amp;项目基本情况!S2&amp;IF('结果表-车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估价对象为北京市房地产,属开发建设的，该项目尚在开发建设中。根据《国有土地使用证》[]，估价对象（分摊）出让国有建设用地使用权面积为10785.07平方米，规划建筑面积为20815.18平方米。</v>
      </c>
    </row>
    <row r="11" spans="1:1" ht="76.5">
      <c r="A11" s="1637" t="s">
        <v>1521</v>
      </c>
    </row>
    <row r="12" spans="1:1" ht="18.75">
      <c r="A12" s="1635" t="s">
        <v>1522</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1523</v>
      </c>
    </row>
    <row r="15" spans="1:1" ht="18">
      <c r="A15" s="1640" t="str">
        <f>TEXT(项目基本情况!D3,"yyyy年m月d日;;")&amp;IF(项目基本情况!D3=项目基本情况!B3,"（评估专业人员实地查勘之日）","")</f>
        <v>2022年2月25日（评估专业人员实地查勘之日）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25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车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1514</v>
      </c>
    </row>
    <row r="24" spans="1:1" ht="18">
      <c r="A24" s="1641" t="str">
        <f>"本次评估采用的主估价方法为"&amp;'结果表-车位'!K4&amp;"和"&amp;'结果表-车位'!L4&amp;"。"</f>
        <v>本次评估采用的主估价方法为比较法和收益法。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3"/>
      <c r="C1" s="2014" t="s">
        <v>2189</v>
      </c>
      <c r="D1" s="203"/>
      <c r="E1" s="203"/>
      <c r="F1" s="203"/>
      <c r="G1" s="1259">
        <f>MATCH(B1,'数据-取费表'!A6:A16,0)+5</f>
        <v>8</v>
      </c>
      <c r="H1" s="1191" t="str">
        <f>IF(ISERROR(FIND("住宅",B1)),"非住宅","住宅")</f>
        <v>非住宅</v>
      </c>
    </row>
    <row r="2" spans="1:8" s="205" customFormat="1" ht="18" customHeight="1">
      <c r="A2" s="206" t="s">
        <v>2088</v>
      </c>
      <c r="B2" s="207">
        <f ca="1">ROUND(IF(D2="——",C52/10000,C52/10000-E2),0)</f>
        <v>10939</v>
      </c>
      <c r="C2" s="204" t="s">
        <v>2089</v>
      </c>
      <c r="D2" s="2008" t="s">
        <v>70</v>
      </c>
      <c r="E2" s="1302" t="e">
        <f ca="1">SUMIF(INDIRECT("'"&amp;G2&amp;"'"&amp;"!A:A"),"承租人权益价值",INDIRECT("'"&amp;G2&amp;"'"&amp;"!c:c"))</f>
        <v>#REF!</v>
      </c>
      <c r="F2" s="2009" t="s">
        <v>2089</v>
      </c>
      <c r="G2" s="2010"/>
    </row>
    <row r="3" spans="1:8" s="205" customFormat="1" ht="18" customHeight="1" thickBot="1">
      <c r="A3" s="208" t="s">
        <v>2090</v>
      </c>
      <c r="B3" s="209">
        <f ca="1">ROUND(B2*10000/(IF(B1="",'数据-汇总表'!E3,INDIRECT("'数据-取费表'!k"&amp;$G$1))),0)</f>
        <v>5255</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4163036</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4163036</v>
      </c>
      <c r="D8" s="227"/>
      <c r="E8" s="225"/>
      <c r="F8" s="226"/>
      <c r="G8" s="2011"/>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2106</v>
      </c>
      <c r="C10" s="230">
        <f ca="1">ROUND(D10*E10,0)</f>
        <v>4163036</v>
      </c>
      <c r="D10" s="953">
        <f ca="1">IF(B1="",'数据-汇总表'!E6,IF(INDIRECT("'数据-取费表'!c"&amp;$G$1)="住宅",INDIRECT("'数据-取费表'!s"&amp;$G$1),INDIRECT("'数据-取费表'!k"&amp;$G$1)+INDIRECT("'数据-取费表'!s"&amp;$G$1)))</f>
        <v>20815.18</v>
      </c>
      <c r="E10" s="230">
        <f>'数据-取费表'!B28</f>
        <v>200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4163036</v>
      </c>
      <c r="D19" s="957">
        <f ca="1">D9+D10</f>
        <v>20815.18</v>
      </c>
      <c r="E19" s="216">
        <f>'数据-取费表'!B31</f>
        <v>200</v>
      </c>
      <c r="F19" s="236"/>
      <c r="G19" s="2011"/>
    </row>
    <row r="20" spans="1:7" s="219" customFormat="1" ht="13.5" customHeight="1">
      <c r="A20" s="260" t="s">
        <v>2200</v>
      </c>
      <c r="B20" s="215" t="s">
        <v>2201</v>
      </c>
      <c r="C20" s="237">
        <f ca="1">ROUND((C5+C19)*F20,0)</f>
        <v>166521</v>
      </c>
      <c r="D20" s="237"/>
      <c r="E20" s="237"/>
      <c r="F20" s="238">
        <f>'数据-取费表'!B37</f>
        <v>0.02</v>
      </c>
      <c r="G20" s="239" t="s">
        <v>2202</v>
      </c>
    </row>
    <row r="21" spans="1:7" s="219" customFormat="1" ht="13.5" customHeight="1">
      <c r="A21" s="260" t="s">
        <v>2203</v>
      </c>
      <c r="B21" s="215" t="s">
        <v>2204</v>
      </c>
      <c r="C21" s="240">
        <f>F21</f>
        <v>0.02</v>
      </c>
      <c r="D21" s="241" t="s">
        <v>2205</v>
      </c>
      <c r="E21" s="237"/>
      <c r="F21" s="238">
        <f>'数据-取费表'!B38</f>
        <v>0.02</v>
      </c>
      <c r="G21" s="239" t="s">
        <v>2206</v>
      </c>
    </row>
    <row r="22" spans="1:7" s="219" customFormat="1" ht="13.5" customHeight="1">
      <c r="A22" s="260" t="s">
        <v>2207</v>
      </c>
      <c r="B22" s="215" t="s">
        <v>2208</v>
      </c>
      <c r="C22" s="1260">
        <f ca="1">ROUND(SUM(C23:C25),0)</f>
        <v>817672</v>
      </c>
      <c r="D22" s="240">
        <f>C26</f>
        <v>1E-3</v>
      </c>
      <c r="E22" s="241" t="s">
        <v>2205</v>
      </c>
      <c r="F22" s="242">
        <f>'数据-取费表'!B40</f>
        <v>4.7500000000000001E-2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404881</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404881</v>
      </c>
      <c r="D24" s="243"/>
      <c r="E24" s="243"/>
      <c r="F24" s="244"/>
      <c r="G24" s="245" t="s">
        <v>2212</v>
      </c>
    </row>
    <row r="25" spans="1:7" s="219" customFormat="1" ht="24">
      <c r="A25" s="887" t="s">
        <v>2102</v>
      </c>
      <c r="B25" s="220" t="s">
        <v>2213</v>
      </c>
      <c r="C25" s="1261">
        <f ca="1">ROUND(IF('数据-取费表'!B22&lt;=1,C20*F22*'数据-取费表'!B22/2,C20*(POWER((1+F22),'数据-取费表'!B22/2)-1)),0)</f>
        <v>7910</v>
      </c>
      <c r="D25" s="243"/>
      <c r="E25" s="246"/>
      <c r="F25" s="244"/>
      <c r="G25" s="247" t="s">
        <v>2214</v>
      </c>
    </row>
    <row r="26" spans="1:7" s="219" customFormat="1">
      <c r="A26" s="887" t="s">
        <v>795</v>
      </c>
      <c r="B26" s="220" t="s">
        <v>2137</v>
      </c>
      <c r="C26" s="243">
        <f>ROUND(IF('数据-取费表'!B22&lt;=1,F21*F22*'数据-取费表'!B22/2,F21*(POWER((1+F22),'数据-取费表'!B22/2)-1)),4)</f>
        <v>1E-3</v>
      </c>
      <c r="D26" s="243"/>
      <c r="E26" s="246"/>
      <c r="F26" s="244"/>
      <c r="G26" s="248"/>
    </row>
    <row r="27" spans="1:7" s="219" customFormat="1" ht="24.75">
      <c r="A27" s="260" t="s">
        <v>2138</v>
      </c>
      <c r="B27" s="249" t="s">
        <v>2139</v>
      </c>
      <c r="C27" s="250">
        <f ca="1">C28</f>
        <v>424630</v>
      </c>
      <c r="D27" s="240">
        <f ca="1">C29</f>
        <v>1E-3</v>
      </c>
      <c r="E27" s="241" t="s">
        <v>2140</v>
      </c>
      <c r="F27" s="251">
        <f ca="1">IF(B1="",'数据-取费表'!Q16,INDIRECT("'数据-取费表'!q"&amp;$G$1))</f>
        <v>0.05</v>
      </c>
      <c r="G27" s="252" t="s">
        <v>2141</v>
      </c>
    </row>
    <row r="28" spans="1:7" s="219" customFormat="1" ht="13.5" customHeight="1">
      <c r="A28" s="887" t="s">
        <v>791</v>
      </c>
      <c r="B28" s="253" t="s">
        <v>2142</v>
      </c>
      <c r="C28" s="254">
        <f ca="1">ROUND((C5+C19+C20)*F27,0)</f>
        <v>424630</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10517389</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81751620</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72853130</v>
      </c>
      <c r="D34" s="222"/>
      <c r="E34" s="225"/>
      <c r="F34" s="262"/>
      <c r="G34" s="224"/>
    </row>
    <row r="35" spans="1:7" ht="13.5" customHeight="1">
      <c r="A35" s="887" t="s">
        <v>796</v>
      </c>
      <c r="B35" s="220" t="s">
        <v>2153</v>
      </c>
      <c r="C35" s="225">
        <f ca="1">ROUND(C34*F35,0)</f>
        <v>3642657</v>
      </c>
      <c r="D35" s="225"/>
      <c r="E35" s="225"/>
      <c r="F35" s="264">
        <f>'数据-取费表'!B33</f>
        <v>0.05</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0.05</v>
      </c>
      <c r="G36" s="265" t="s">
        <v>2156</v>
      </c>
    </row>
    <row r="37" spans="1:7" s="263" customFormat="1" ht="13.5" customHeight="1">
      <c r="A37" s="887" t="s">
        <v>798</v>
      </c>
      <c r="B37" s="220" t="s">
        <v>2157</v>
      </c>
      <c r="C37" s="254">
        <f ca="1">ROUND(E37*D37,0)</f>
        <v>4163036</v>
      </c>
      <c r="D37" s="222">
        <f ca="1">D19</f>
        <v>20815.18</v>
      </c>
      <c r="E37" s="254">
        <f>'数据-取费表'!B35</f>
        <v>200</v>
      </c>
      <c r="F37" s="264"/>
      <c r="G37" s="266"/>
    </row>
    <row r="38" spans="1:7" ht="13.5" customHeight="1">
      <c r="A38" s="887" t="s">
        <v>799</v>
      </c>
      <c r="B38" s="220" t="s">
        <v>2159</v>
      </c>
      <c r="C38" s="225">
        <f ca="1">ROUND(C34*F38,0)</f>
        <v>1092797</v>
      </c>
      <c r="D38" s="225"/>
      <c r="E38" s="225"/>
      <c r="F38" s="264">
        <f>'数据-取费表'!B36</f>
        <v>1.4999999999999999E-2</v>
      </c>
      <c r="G38" s="224" t="s">
        <v>2154</v>
      </c>
    </row>
    <row r="39" spans="1:7" s="219" customFormat="1" ht="13.5" customHeight="1">
      <c r="A39" s="260" t="s">
        <v>2160</v>
      </c>
      <c r="B39" s="215" t="s">
        <v>2161</v>
      </c>
      <c r="C39" s="237">
        <f ca="1">ROUND(C33*F20,0)</f>
        <v>1635032</v>
      </c>
      <c r="D39" s="237"/>
      <c r="E39" s="237"/>
      <c r="F39" s="2504">
        <f>F20</f>
        <v>0.02</v>
      </c>
      <c r="G39" s="239" t="s">
        <v>2162</v>
      </c>
    </row>
    <row r="40" spans="1:7" s="219" customFormat="1" ht="13.5" customHeight="1">
      <c r="A40" s="260" t="s">
        <v>2163</v>
      </c>
      <c r="B40" s="215" t="s">
        <v>2164</v>
      </c>
      <c r="C40" s="1466">
        <f>F21</f>
        <v>0.02</v>
      </c>
      <c r="D40" s="241" t="s">
        <v>2165</v>
      </c>
      <c r="E40" s="237"/>
      <c r="F40" s="2504">
        <f>F21</f>
        <v>0.02</v>
      </c>
      <c r="G40" s="239" t="s">
        <v>2166</v>
      </c>
    </row>
    <row r="41" spans="1:7" s="219" customFormat="1" ht="13.5" customHeight="1">
      <c r="A41" s="260" t="s">
        <v>2167</v>
      </c>
      <c r="B41" s="215" t="s">
        <v>2168</v>
      </c>
      <c r="C41" s="237">
        <f ca="1">ROUND(SUM(C42:C43),0)</f>
        <v>3960866</v>
      </c>
      <c r="D41" s="240">
        <f>C44</f>
        <v>1E-3</v>
      </c>
      <c r="E41" s="241" t="s">
        <v>2165</v>
      </c>
      <c r="F41" s="2505">
        <f>F22</f>
        <v>4.7500000000000001E-2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3883202</v>
      </c>
      <c r="D42" s="243"/>
      <c r="E42" s="243"/>
      <c r="F42" s="244"/>
      <c r="G42" s="3500" t="s">
        <v>2217</v>
      </c>
    </row>
    <row r="43" spans="1:7" ht="13.5" customHeight="1">
      <c r="A43" s="887" t="s">
        <v>792</v>
      </c>
      <c r="B43" s="220" t="s">
        <v>2171</v>
      </c>
      <c r="C43" s="243">
        <f ca="1">ROUND(IF('数据-取费表'!B22&lt;=1,C39*F22*'数据-取费表'!B20/2,C39*(POWER((1+F22),'数据-取费表'!B20/2)-1)),0)</f>
        <v>77664</v>
      </c>
      <c r="D43" s="243"/>
      <c r="E43" s="243"/>
      <c r="F43" s="244"/>
      <c r="G43" s="3501"/>
    </row>
    <row r="44" spans="1:7" ht="13.5" customHeight="1">
      <c r="A44" s="887" t="s">
        <v>793</v>
      </c>
      <c r="B44" s="220" t="s">
        <v>2172</v>
      </c>
      <c r="C44" s="243">
        <f>ROUND(IF('数据-取费表'!B22&lt;=1,C40*F22*'数据-取费表'!B20/2,C40*(POWER((1+F22),'数据-取费表'!B20/2)-1)),4)</f>
        <v>1E-3</v>
      </c>
      <c r="D44" s="243"/>
      <c r="E44" s="243"/>
      <c r="F44" s="244"/>
      <c r="G44" s="3502"/>
    </row>
    <row r="45" spans="1:7" s="219" customFormat="1" ht="13.5" customHeight="1">
      <c r="A45" s="260" t="s">
        <v>2173</v>
      </c>
      <c r="B45" s="249" t="s">
        <v>2139</v>
      </c>
      <c r="C45" s="250">
        <f ca="1">C46</f>
        <v>4169333</v>
      </c>
      <c r="D45" s="240">
        <f ca="1">C47</f>
        <v>1E-3</v>
      </c>
      <c r="E45" s="241" t="s">
        <v>2165</v>
      </c>
      <c r="F45" s="2506">
        <f ca="1">F27</f>
        <v>0.05</v>
      </c>
      <c r="G45" s="252" t="s">
        <v>2174</v>
      </c>
    </row>
    <row r="46" spans="1:7" s="219" customFormat="1" ht="13.5" customHeight="1">
      <c r="A46" s="887" t="s">
        <v>791</v>
      </c>
      <c r="B46" s="253" t="s">
        <v>2175</v>
      </c>
      <c r="C46" s="254">
        <f ca="1">ROUND((C33+C39)*F27,0)</f>
        <v>4169333</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5">
        <f>F30</f>
        <v>5.5000000000000007E-2</v>
      </c>
      <c r="G48" s="239" t="s">
        <v>2178</v>
      </c>
    </row>
    <row r="49" spans="1:7" ht="16.5" customHeight="1">
      <c r="A49" s="260" t="s">
        <v>2144</v>
      </c>
      <c r="B49" s="215" t="s">
        <v>2218</v>
      </c>
      <c r="C49" s="237">
        <f ca="1">ROUND((C33+C39+C41+C45)/(1-C40-D41-D45-C48),0)</f>
        <v>98873002</v>
      </c>
      <c r="D49" s="237"/>
      <c r="E49" s="237"/>
      <c r="F49" s="269"/>
      <c r="G49" s="239" t="s">
        <v>2180</v>
      </c>
    </row>
    <row r="50" spans="1:7" s="263" customFormat="1">
      <c r="A50" s="260" t="s">
        <v>2181</v>
      </c>
      <c r="B50" s="215" t="s">
        <v>2182</v>
      </c>
      <c r="C50" s="237"/>
      <c r="D50" s="237"/>
      <c r="E50" s="237"/>
      <c r="F50" s="269">
        <f>IF('数据-取费表'!B24=0,'数据-取费表'!N16,1)</f>
        <v>1</v>
      </c>
      <c r="G50" s="252"/>
    </row>
    <row r="51" spans="1:7" ht="16.5" customHeight="1">
      <c r="A51" s="260" t="s">
        <v>2184</v>
      </c>
      <c r="B51" s="215" t="s">
        <v>2219</v>
      </c>
      <c r="C51" s="237">
        <f ca="1">ROUND(C49*F50,0)</f>
        <v>98873002</v>
      </c>
      <c r="D51" s="237"/>
      <c r="E51" s="237"/>
      <c r="F51" s="269"/>
      <c r="G51" s="239" t="s">
        <v>2186</v>
      </c>
    </row>
    <row r="52" spans="1:7" s="213" customFormat="1" ht="16.5" thickBot="1">
      <c r="A52" s="270" t="s">
        <v>2187</v>
      </c>
      <c r="B52" s="271"/>
      <c r="C52" s="272">
        <f ca="1">C31+C51</f>
        <v>109390391</v>
      </c>
      <c r="D52" s="271"/>
      <c r="E52" s="271"/>
      <c r="F52" s="271"/>
      <c r="G52" s="273"/>
    </row>
    <row r="55" spans="1:7" ht="15">
      <c r="B55" s="275" t="s">
        <v>2188</v>
      </c>
      <c r="C55" s="276"/>
    </row>
    <row r="56" spans="1:7">
      <c r="B56" s="278" t="s">
        <v>1418</v>
      </c>
      <c r="C56" s="280">
        <f ca="1">1-C57</f>
        <v>9.5999999999999974E-2</v>
      </c>
    </row>
    <row r="57" spans="1:7">
      <c r="B57" s="278" t="s">
        <v>1419</v>
      </c>
      <c r="C57" s="279">
        <f ca="1">ROUND(C51/C52,3)</f>
        <v>0.90400000000000003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D00-000000000000}">
      <formula1>"已包含在土地购买价格中,未包含在土地购买价格中"</formula1>
    </dataValidation>
    <dataValidation type="list" allowBlank="1" showInputMessage="1" showErrorMessage="1" sqref="G19" xr:uid="{00000000-0002-0000-1D00-000001000000}">
      <formula1>"已包含在土地取得成本中,未包含在土地取得成本中"</formula1>
    </dataValidation>
    <dataValidation type="list" allowBlank="1" showInputMessage="1" showErrorMessage="1" sqref="B1" xr:uid="{00000000-0002-0000-1D00-000002000000}">
      <formula1>项目类型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4"/>
      <c r="C1" s="1325"/>
      <c r="D1" s="1323"/>
      <c r="E1" s="3006"/>
      <c r="F1" s="3006"/>
      <c r="G1" s="2869"/>
      <c r="H1" s="3006"/>
      <c r="I1" s="3006"/>
      <c r="J1" s="3006"/>
      <c r="K1" s="3007">
        <f>MATCH(C1,'数据-取费表'!A6:A16,0)+5</f>
        <v>8</v>
      </c>
    </row>
    <row r="2" spans="1:33" ht="18" customHeight="1">
      <c r="A2" s="206" t="s">
        <v>2088</v>
      </c>
      <c r="B2" s="209">
        <f ca="1">C32</f>
        <v>-266</v>
      </c>
      <c r="C2" s="281" t="s">
        <v>2221</v>
      </c>
      <c r="D2" s="281"/>
      <c r="E2" s="3006"/>
      <c r="F2" s="3006"/>
      <c r="G2" s="3006"/>
      <c r="H2" s="3006"/>
      <c r="I2" s="3006"/>
      <c r="J2" s="3006"/>
      <c r="K2" s="3006"/>
    </row>
    <row r="3" spans="1:33" ht="18" customHeight="1" thickBot="1">
      <c r="A3" s="208" t="s">
        <v>2090</v>
      </c>
      <c r="B3" s="209">
        <f ca="1">ROUND(B2*10000/IF(C1="",'数据-汇总表'!E3,INDIRECT("'数据-取费表'!K"&amp;$K$1)),0)</f>
        <v>-128</v>
      </c>
      <c r="C3" s="281" t="s">
        <v>2222</v>
      </c>
      <c r="D3" s="281"/>
      <c r="E3" s="3006"/>
      <c r="F3" s="3006"/>
      <c r="G3" s="3006"/>
      <c r="H3" s="3006"/>
      <c r="I3" s="3006"/>
      <c r="J3" s="3006"/>
      <c r="K3" s="3006"/>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5" t="s">
        <v>2226</v>
      </c>
      <c r="D5" s="2015" t="s">
        <v>2227</v>
      </c>
      <c r="E5" s="2015" t="s">
        <v>2228</v>
      </c>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6"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4">
        <f ca="1">ROUND(C11*F12,0)</f>
        <v>0</v>
      </c>
      <c r="D12" s="909"/>
      <c r="E12" s="334"/>
      <c r="F12" s="912">
        <f>'数据-取费表'!B33</f>
        <v>0.05</v>
      </c>
      <c r="G12" s="8" t="s">
        <v>2243</v>
      </c>
      <c r="H12" s="904"/>
      <c r="I12" s="904"/>
      <c r="J12" s="904"/>
      <c r="K12" s="905"/>
    </row>
    <row r="13" spans="1:33" s="911" customFormat="1" ht="13.5" customHeight="1">
      <c r="A13" s="907" t="s">
        <v>1243</v>
      </c>
      <c r="B13" s="908" t="s">
        <v>2244</v>
      </c>
      <c r="C13" s="24">
        <f ca="1">ROUND(IF(C1="",SUMIF('数据-取费表'!C:C,"住宅",'数据-取费表'!P:P)*F13,IF(INDIRECT("'数据-取费表'!c"&amp;$K$1)="住宅",INDIRECT("'数据-取费表'!P"&amp;$K$1)*F13,0)),0)</f>
        <v>0</v>
      </c>
      <c r="D13" s="954"/>
      <c r="E13" s="334"/>
      <c r="F13" s="912">
        <f>'数据-取费表'!B34</f>
        <v>0.05</v>
      </c>
      <c r="G13" s="8" t="s">
        <v>2245</v>
      </c>
      <c r="H13" s="904"/>
      <c r="I13" s="904"/>
      <c r="J13" s="904"/>
      <c r="K13" s="905"/>
    </row>
    <row r="14" spans="1:33" s="913" customFormat="1" ht="13.5" customHeight="1">
      <c r="A14" s="907" t="s">
        <v>1244</v>
      </c>
      <c r="B14" s="908" t="s">
        <v>2246</v>
      </c>
      <c r="C14" s="24">
        <f ca="1">ROUND(D14*E14*F11/10000,0)</f>
        <v>0</v>
      </c>
      <c r="D14" s="954">
        <f ca="1">IF(C1="",'数据-汇总表'!E3,INDIRECT("'数据-取费表'!K"&amp;$K$1)+INDIRECT("'数据-取费表'!S"&amp;$K$1))</f>
        <v>20815.18</v>
      </c>
      <c r="E14" s="24">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6"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6"/>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4">
        <f ca="1">ROUND(D17*E17/10000,0)</f>
        <v>0</v>
      </c>
      <c r="D17" s="954">
        <f ca="1">D14</f>
        <v>20815.18</v>
      </c>
      <c r="E17" s="24">
        <f>'数据-取费表'!B32</f>
        <v>0</v>
      </c>
      <c r="F17" s="914"/>
      <c r="G17" s="136" t="s">
        <v>2252</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4">
        <f ca="1">C19+C20-IF(C1="",'数据-取费表'!B29,IF(G18="已全部缴纳",C19+C20,H18))</f>
        <v>256</v>
      </c>
      <c r="D18" s="954"/>
      <c r="E18" s="24"/>
      <c r="F18" s="912"/>
      <c r="G18" s="2017"/>
      <c r="H18" s="1320"/>
      <c r="I18" s="2018" t="s">
        <v>2254</v>
      </c>
      <c r="J18" s="915"/>
      <c r="K18" s="916"/>
    </row>
    <row r="19" spans="1:33" s="911" customFormat="1" ht="13.5" customHeight="1">
      <c r="A19" s="907" t="s">
        <v>805</v>
      </c>
      <c r="B19" s="908" t="s">
        <v>2255</v>
      </c>
      <c r="C19" s="24">
        <f ca="1">ROUND(D19*E19/10000,0)</f>
        <v>0</v>
      </c>
      <c r="D19" s="954">
        <f ca="1">IF(C1="",'数据-汇总表'!E5,IF(INDIRECT("'数据-取费表'!c"&amp;$K$1)="住宅",INDIRECT("'数据-取费表'!k"&amp;$K$1),0))</f>
        <v>0</v>
      </c>
      <c r="E19" s="24">
        <f>'数据-取费表'!B27</f>
        <v>160</v>
      </c>
      <c r="F19" s="912"/>
      <c r="G19" s="15"/>
      <c r="H19" s="1322"/>
      <c r="I19" s="917"/>
      <c r="J19" s="917"/>
      <c r="K19" s="918"/>
    </row>
    <row r="20" spans="1:33" s="911" customFormat="1" ht="13.5" customHeight="1">
      <c r="A20" s="907" t="s">
        <v>806</v>
      </c>
      <c r="B20" s="908" t="s">
        <v>2256</v>
      </c>
      <c r="C20" s="24">
        <f ca="1">ROUND(D20*E20/10000,0)</f>
        <v>416</v>
      </c>
      <c r="D20" s="954">
        <f ca="1">IF(C1="",'数据-汇总表'!E6,IF(INDIRECT("'数据-取费表'!c"&amp;$K$1)="住宅",INDIRECT("'数据-取费表'!s"&amp;$K$1),INDIRECT("'数据-取费表'!k"&amp;$K$1)+INDIRECT("'数据-取费表'!s"&amp;$K$1)))</f>
        <v>20815.18</v>
      </c>
      <c r="E20" s="24">
        <f>'数据-取费表'!B28</f>
        <v>200</v>
      </c>
      <c r="F20" s="912"/>
      <c r="G20" s="15"/>
      <c r="H20" s="917"/>
      <c r="I20" s="917"/>
      <c r="J20" s="917"/>
      <c r="K20" s="918"/>
    </row>
    <row r="21" spans="1:33" s="911" customFormat="1" ht="13.5" customHeight="1">
      <c r="A21" s="897" t="s">
        <v>802</v>
      </c>
      <c r="B21" s="921" t="s">
        <v>2257</v>
      </c>
      <c r="C21" s="922">
        <f ca="1">C16+C17+C18</f>
        <v>256</v>
      </c>
      <c r="D21" s="923"/>
      <c r="E21" s="286"/>
      <c r="F21" s="286"/>
      <c r="G21" s="136" t="s">
        <v>2258</v>
      </c>
      <c r="H21" s="915"/>
      <c r="I21" s="915"/>
      <c r="J21" s="915"/>
      <c r="K21" s="916"/>
    </row>
    <row r="22" spans="1:33" s="911" customFormat="1" ht="13.5" customHeight="1">
      <c r="A22" s="897" t="s">
        <v>2230</v>
      </c>
      <c r="B22" s="921" t="s">
        <v>2259</v>
      </c>
      <c r="C22" s="922">
        <f ca="1">ROUND(C21*F22,0)</f>
        <v>5</v>
      </c>
      <c r="D22" s="286"/>
      <c r="E22" s="286"/>
      <c r="F22" s="924">
        <f>'数据-取费表'!B37</f>
        <v>0.02</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0.02</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C26</f>
        <v>0</v>
      </c>
      <c r="E25" s="287" t="s">
        <v>15</v>
      </c>
      <c r="F25" s="288">
        <f>'数据-取费表'!B40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2270</v>
      </c>
      <c r="B28" s="2020" t="s">
        <v>2271</v>
      </c>
      <c r="C28" s="292">
        <f ca="1">C30</f>
        <v>13</v>
      </c>
      <c r="D28" s="285">
        <f ca="1">C29</f>
        <v>0</v>
      </c>
      <c r="E28" s="287" t="s">
        <v>15</v>
      </c>
      <c r="F28" s="293">
        <f ca="1">IF(C1="",'数据-取费表'!Q16,INDIRECT("'数据-取费表'!q"&amp;$K$1))</f>
        <v>0.05</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6" t="s">
        <v>2273</v>
      </c>
      <c r="H29" s="915"/>
      <c r="I29" s="915"/>
      <c r="J29" s="915"/>
      <c r="K29" s="916"/>
    </row>
    <row r="30" spans="1:33" s="296" customFormat="1" ht="13.5" customHeight="1">
      <c r="A30" s="907" t="s">
        <v>804</v>
      </c>
      <c r="B30" s="930" t="s">
        <v>2274</v>
      </c>
      <c r="C30" s="297">
        <f ca="1">ROUND((C21+C22+C23)*F28,0)</f>
        <v>13</v>
      </c>
      <c r="D30" s="289"/>
      <c r="E30" s="290"/>
      <c r="F30" s="295"/>
      <c r="G30" s="136"/>
      <c r="H30" s="915"/>
      <c r="I30" s="915"/>
      <c r="J30" s="915"/>
      <c r="K30" s="916"/>
    </row>
    <row r="31" spans="1:33" s="911" customFormat="1" ht="13.5" customHeight="1" thickBot="1">
      <c r="A31" s="2021"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-266</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E00-000000000000}">
      <formula1>项目类型</formula1>
    </dataValidation>
    <dataValidation type="list" allowBlank="1" showInputMessage="1" showErrorMessage="1" sqref="G18" xr:uid="{00000000-0002-0000-1E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1494</v>
      </c>
      <c r="B1" s="721"/>
      <c r="C1" s="1532"/>
      <c r="D1" s="1515"/>
      <c r="E1" s="1516" t="s">
        <v>1292</v>
      </c>
      <c r="F1" s="1192">
        <f ca="1">J53</f>
        <v>0</v>
      </c>
      <c r="G1" s="1531">
        <f>MATCH(C1,'数据-取费表'!A6:A16,0)+5</f>
        <v>8</v>
      </c>
      <c r="H1" s="2890"/>
      <c r="I1" s="2891"/>
      <c r="J1" s="2891"/>
      <c r="K1" s="2892"/>
      <c r="L1" s="2891"/>
      <c r="M1" s="2891"/>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1" t="s">
        <v>1493</v>
      </c>
      <c r="I3" s="1535"/>
      <c r="J3" s="1535"/>
      <c r="K3" s="1536"/>
      <c r="L3" s="1535"/>
      <c r="M3" s="1535"/>
    </row>
    <row r="4" spans="1:37" ht="18" customHeight="1">
      <c r="A4" s="300" t="s">
        <v>1500</v>
      </c>
      <c r="B4" s="301" t="s">
        <v>1501</v>
      </c>
      <c r="C4" s="301" t="s">
        <v>1502</v>
      </c>
      <c r="D4" s="301" t="s">
        <v>1503</v>
      </c>
      <c r="E4" s="302" t="s">
        <v>1504</v>
      </c>
      <c r="F4" s="303"/>
      <c r="G4" s="1537"/>
      <c r="H4" s="300" t="s">
        <v>1500</v>
      </c>
      <c r="I4" s="301" t="s">
        <v>1501</v>
      </c>
      <c r="J4" s="301" t="s">
        <v>1502</v>
      </c>
      <c r="K4" s="301" t="s">
        <v>1503</v>
      </c>
      <c r="L4" s="302" t="s">
        <v>1504</v>
      </c>
      <c r="M4" s="303"/>
    </row>
    <row r="5" spans="1:37" ht="18" customHeight="1">
      <c r="A5" s="304">
        <v>1</v>
      </c>
      <c r="B5" s="305" t="s">
        <v>1505</v>
      </c>
      <c r="C5" s="1201">
        <f ca="1">C6+C10+C12</f>
        <v>0</v>
      </c>
      <c r="D5" s="1517" t="s">
        <v>1506</v>
      </c>
      <c r="E5" s="1202"/>
      <c r="F5" s="1203"/>
      <c r="G5" s="1537"/>
      <c r="H5" s="304">
        <v>1</v>
      </c>
      <c r="I5" s="305" t="s">
        <v>1505</v>
      </c>
      <c r="J5" s="1201">
        <f ca="1">J6+J10+J12</f>
        <v>0</v>
      </c>
      <c r="K5" s="1517" t="s">
        <v>1506</v>
      </c>
      <c r="L5" s="1202"/>
      <c r="M5" s="1203"/>
    </row>
    <row r="6" spans="1:37" ht="18" customHeight="1">
      <c r="A6" s="1200" t="s">
        <v>1003</v>
      </c>
      <c r="B6" s="3495" t="s">
        <v>1308</v>
      </c>
      <c r="C6" s="1205">
        <f ca="1">ROUND(F6*F8*F7*(1-F9),0)</f>
        <v>0</v>
      </c>
      <c r="D6" s="159" t="s">
        <v>2785</v>
      </c>
      <c r="E6" s="307" t="s">
        <v>1310</v>
      </c>
      <c r="F6" s="308">
        <f ca="1">INDIRECT("'数据-取费表'!u"&amp;$G$1)</f>
        <v>0</v>
      </c>
      <c r="G6" s="1537"/>
      <c r="H6" s="1200" t="s">
        <v>1003</v>
      </c>
      <c r="I6" s="3495" t="s">
        <v>1308</v>
      </c>
      <c r="J6" s="306">
        <f ca="1">ROUND(M6*M8*M7*(1-M9),0)</f>
        <v>0</v>
      </c>
      <c r="K6" s="1529" t="s">
        <v>2786</v>
      </c>
      <c r="L6" s="307" t="s">
        <v>1310</v>
      </c>
      <c r="M6" s="308">
        <f ca="1">INDIRECT("'数据-取费表'!z"&amp;$G$1)</f>
        <v>0</v>
      </c>
    </row>
    <row r="7" spans="1:37" ht="18" customHeight="1">
      <c r="A7" s="1204"/>
      <c r="B7" s="3496"/>
      <c r="C7" s="1206"/>
      <c r="D7" s="312"/>
      <c r="E7" s="1207" t="s">
        <v>1311</v>
      </c>
      <c r="F7" s="308">
        <f ca="1">IF(INDIRECT("'数据-取费表'!ah"&amp;$G$1)="",INDIRECT("'数据-取费表'!k"&amp;$G$1),INDIRECT("'数据-取费表'!ah"&amp;$G$1))</f>
        <v>0</v>
      </c>
      <c r="G7" s="1537"/>
      <c r="H7" s="309"/>
      <c r="I7" s="3496"/>
      <c r="J7" s="311"/>
      <c r="K7" s="312"/>
      <c r="L7" s="307" t="s">
        <v>1311</v>
      </c>
      <c r="M7" s="308">
        <f ca="1">F7</f>
        <v>0</v>
      </c>
    </row>
    <row r="8" spans="1:37" ht="18" customHeight="1">
      <c r="A8" s="309"/>
      <c r="B8" s="3496"/>
      <c r="C8" s="311"/>
      <c r="D8" s="312"/>
      <c r="E8" s="307" t="s">
        <v>1312</v>
      </c>
      <c r="F8" s="308">
        <f ca="1">INDIRECT("'数据-取费表'!ai"&amp;$G$1)</f>
        <v>0</v>
      </c>
      <c r="G8" s="1537"/>
      <c r="H8" s="309"/>
      <c r="I8" s="3496"/>
      <c r="J8" s="311"/>
      <c r="K8" s="312"/>
      <c r="L8" s="307" t="s">
        <v>1312</v>
      </c>
      <c r="M8" s="308">
        <f ca="1">INDIRECT("'数据-取费表'!ai"&amp;$G$1)</f>
        <v>0</v>
      </c>
    </row>
    <row r="9" spans="1:37" ht="18" customHeight="1">
      <c r="A9" s="309"/>
      <c r="B9" s="3497"/>
      <c r="C9" s="311"/>
      <c r="D9" s="312"/>
      <c r="E9" s="307" t="s">
        <v>1313</v>
      </c>
      <c r="F9" s="317">
        <f ca="1">INDIRECT("'数据-取费表'!w"&amp;$G$1)</f>
        <v>0</v>
      </c>
      <c r="G9" s="1537"/>
      <c r="H9" s="309"/>
      <c r="I9" s="3497"/>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2795</v>
      </c>
      <c r="E10" s="318" t="s">
        <v>1315</v>
      </c>
      <c r="F10" s="1247"/>
      <c r="G10" s="1537"/>
      <c r="H10" s="1200" t="s">
        <v>1007</v>
      </c>
      <c r="I10" s="1518" t="s">
        <v>1314</v>
      </c>
      <c r="J10" s="306">
        <f ca="1">ROUND(IF(M10="押一",J6/12*M11,IF(M10="押二",J6/12*2*M11,IF(M10="押三",J6/12*3*M11,J11*M11))),0)</f>
        <v>0</v>
      </c>
      <c r="K10" s="1530" t="s">
        <v>2797</v>
      </c>
      <c r="L10" s="318" t="s">
        <v>1315</v>
      </c>
      <c r="M10" s="1247"/>
    </row>
    <row r="11" spans="1:37" ht="18" customHeight="1">
      <c r="A11" s="313"/>
      <c r="B11" s="1520" t="s">
        <v>1507</v>
      </c>
      <c r="C11" s="1089"/>
      <c r="D11" s="312"/>
      <c r="E11" s="318" t="s">
        <v>1317</v>
      </c>
      <c r="F11" s="319">
        <f ca="1">'数据-取费表'!B39</f>
        <v>1.4999999999999999E-2</v>
      </c>
      <c r="G11" s="1537"/>
      <c r="H11" s="1208"/>
      <c r="I11" s="1520" t="s">
        <v>1508</v>
      </c>
      <c r="J11" s="1089"/>
      <c r="K11" s="692"/>
      <c r="L11" s="318" t="s">
        <v>1317</v>
      </c>
      <c r="M11" s="970">
        <f ca="1">'数据-取费表'!B39</f>
        <v>1.4999999999999999E-2</v>
      </c>
    </row>
    <row r="12" spans="1:37" ht="18" customHeight="1" thickBot="1">
      <c r="A12" s="1214" t="s">
        <v>1043</v>
      </c>
      <c r="B12" s="1522" t="s">
        <v>1318</v>
      </c>
      <c r="C12" s="1215"/>
      <c r="D12" s="1216"/>
      <c r="E12" s="1221"/>
      <c r="F12" s="1217"/>
      <c r="G12" s="1537"/>
      <c r="H12" s="1214" t="s">
        <v>1043</v>
      </c>
      <c r="I12" s="1522" t="s">
        <v>1318</v>
      </c>
      <c r="J12" s="1215"/>
      <c r="K12" s="1229"/>
      <c r="L12" s="1221"/>
      <c r="M12" s="1230"/>
    </row>
    <row r="13" spans="1:37" ht="18" customHeight="1" thickTop="1">
      <c r="A13" s="1210">
        <v>2</v>
      </c>
      <c r="B13" s="1211" t="s">
        <v>1319</v>
      </c>
      <c r="C13" s="315">
        <f ca="1">ROUND(C29*F13,0)</f>
        <v>0</v>
      </c>
      <c r="D13" s="1212" t="s">
        <v>1320</v>
      </c>
      <c r="E13" s="1212" t="s">
        <v>1321</v>
      </c>
      <c r="F13" s="1213">
        <f ca="1">INDIRECT("'数据-取费表'!y"&amp;$G$1)</f>
        <v>0</v>
      </c>
      <c r="G13" s="1537"/>
      <c r="H13" s="1210">
        <v>2</v>
      </c>
      <c r="I13" s="1211" t="s">
        <v>1319</v>
      </c>
      <c r="J13" s="1199">
        <f ca="1">ROUND(J14*J15,0)</f>
        <v>0</v>
      </c>
      <c r="K13" s="1218" t="s">
        <v>1320</v>
      </c>
      <c r="L13" s="1545"/>
      <c r="M13" s="1546"/>
    </row>
    <row r="14" spans="1:37" ht="18" customHeight="1">
      <c r="A14" s="1112" t="s">
        <v>1002</v>
      </c>
      <c r="B14" s="307" t="s">
        <v>1322</v>
      </c>
      <c r="C14" s="323">
        <f ca="1">ROUND(INDIRECT("'数据-取费表'!l"&amp;$G$1)*F43+'数据-取费表'!L14*INDIRECT("'数据-取费表'!S"&amp;$G$1),0)</f>
        <v>0</v>
      </c>
      <c r="D14" s="1498" t="s">
        <v>1323</v>
      </c>
      <c r="E14" s="1495"/>
      <c r="F14" s="324"/>
      <c r="G14" s="1537"/>
      <c r="H14" s="1112" t="s">
        <v>1003</v>
      </c>
      <c r="I14" s="307" t="s">
        <v>1324</v>
      </c>
      <c r="J14" s="24">
        <f ca="1">C29</f>
        <v>0</v>
      </c>
      <c r="K14" s="15"/>
      <c r="L14" s="915"/>
      <c r="M14" s="916"/>
    </row>
    <row r="15" spans="1:37" s="1550" customFormat="1" ht="18" customHeight="1" thickBot="1">
      <c r="A15" s="1112" t="s">
        <v>1004</v>
      </c>
      <c r="B15" s="307" t="s">
        <v>1325</v>
      </c>
      <c r="C15" s="24">
        <f ca="1">ROUND(C14*F15,0)</f>
        <v>0</v>
      </c>
      <c r="D15" s="325" t="s">
        <v>1326</v>
      </c>
      <c r="E15" s="325" t="s">
        <v>1327</v>
      </c>
      <c r="F15" s="326">
        <f>'数据-取费表'!B33</f>
        <v>0.05</v>
      </c>
      <c r="G15" s="1549"/>
      <c r="H15" s="1220" t="s">
        <v>1007</v>
      </c>
      <c r="I15" s="1221" t="s">
        <v>1321</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1328</v>
      </c>
      <c r="C16" s="24">
        <f ca="1">ROUND(INDIRECT("'数据-取费表'!l"&amp;$G$1)*F43*F16,0)</f>
        <v>0</v>
      </c>
      <c r="D16" s="307" t="s">
        <v>1326</v>
      </c>
      <c r="E16" s="307" t="s">
        <v>1327</v>
      </c>
      <c r="F16" s="327">
        <f ca="1">IF(INDIRECT("'数据-取费表'!c"&amp;$G$1)="住宅",'数据-取费表'!B34,0)</f>
        <v>0.05</v>
      </c>
      <c r="G16" s="1537"/>
      <c r="H16" s="1210" t="s">
        <v>998</v>
      </c>
      <c r="I16" s="1211" t="s">
        <v>1329</v>
      </c>
      <c r="J16" s="315">
        <f ca="1">ROUND(J17+J22+J23+J24,0)</f>
        <v>0</v>
      </c>
      <c r="K16" s="1218" t="s">
        <v>1330</v>
      </c>
      <c r="L16" s="1219"/>
      <c r="M16" s="1203"/>
    </row>
    <row r="17" spans="1:37" s="1550" customFormat="1" ht="18" customHeight="1">
      <c r="A17" s="1112" t="s">
        <v>1295</v>
      </c>
      <c r="B17" s="307" t="s">
        <v>1331</v>
      </c>
      <c r="C17" s="24">
        <f ca="1">ROUND(F17*(F43+INDIRECT("'数据-取费表'!S"&amp;$G$1)),0)</f>
        <v>0</v>
      </c>
      <c r="D17" s="307" t="s">
        <v>1332</v>
      </c>
      <c r="E17" s="307" t="s">
        <v>1333</v>
      </c>
      <c r="F17" s="26">
        <f>'数据-取费表'!B35</f>
        <v>200</v>
      </c>
      <c r="G17" s="1549"/>
      <c r="H17" s="1112" t="s">
        <v>1003</v>
      </c>
      <c r="I17" s="307"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1337</v>
      </c>
      <c r="C18" s="24">
        <f ca="1">ROUND(C14*F18,0)</f>
        <v>0</v>
      </c>
      <c r="D18" s="307" t="s">
        <v>1326</v>
      </c>
      <c r="E18" s="307" t="s">
        <v>1327</v>
      </c>
      <c r="F18" s="327">
        <f>'数据-取费表'!B36</f>
        <v>1.4999999999999999E-2</v>
      </c>
      <c r="G18" s="1549"/>
      <c r="H18" s="1112" t="s">
        <v>1002</v>
      </c>
      <c r="I18" s="307" t="s">
        <v>1338</v>
      </c>
      <c r="J18" s="24">
        <f ca="1">ROUND(J6*M18/(1+'数据-取费表'!C42),0)</f>
        <v>0</v>
      </c>
      <c r="K18" s="1497" t="s">
        <v>1339</v>
      </c>
      <c r="L18" s="307" t="s">
        <v>1327</v>
      </c>
      <c r="M18" s="327">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1340</v>
      </c>
      <c r="C19" s="24">
        <f ca="1">SUM(C14:C18)</f>
        <v>0</v>
      </c>
      <c r="D19" s="136" t="s">
        <v>1341</v>
      </c>
      <c r="E19" s="1513"/>
      <c r="F19" s="26"/>
      <c r="G19" s="1537"/>
      <c r="H19" s="1112" t="s">
        <v>1004</v>
      </c>
      <c r="I19" s="307" t="s">
        <v>1342</v>
      </c>
      <c r="J19" s="24">
        <f ca="1">IF(K19="按租金收入计税",ROUND(J6*M19/(1+'数据-取费表'!C42),0),ROUND(C29*M19*0.7,0))</f>
        <v>0</v>
      </c>
      <c r="K19" s="1523" t="s">
        <v>1343</v>
      </c>
      <c r="L19" s="307" t="s">
        <v>1327</v>
      </c>
      <c r="M19" s="327">
        <f>IF(K19="按租金收入计税",'数据-取费表'!B51,'数据-取费表'!B50)</f>
        <v>1.2E-2</v>
      </c>
    </row>
    <row r="20" spans="1:37" s="1550" customFormat="1" ht="18" customHeight="1">
      <c r="A20" s="1112" t="s">
        <v>1007</v>
      </c>
      <c r="B20" s="307" t="s">
        <v>1344</v>
      </c>
      <c r="C20" s="24">
        <f ca="1">ROUND(C19*F20,0)</f>
        <v>0</v>
      </c>
      <c r="D20" s="328" t="s">
        <v>1345</v>
      </c>
      <c r="E20" s="307" t="s">
        <v>1327</v>
      </c>
      <c r="F20" s="327">
        <f>'数据-取费表'!B37</f>
        <v>0.02</v>
      </c>
      <c r="G20" s="1549"/>
      <c r="H20" s="1112" t="s">
        <v>1294</v>
      </c>
      <c r="I20" s="159" t="s">
        <v>1346</v>
      </c>
      <c r="J20" s="25">
        <f ca="1">ROUND(M20*M21,0)</f>
        <v>0</v>
      </c>
      <c r="K20" s="329" t="s">
        <v>1347</v>
      </c>
      <c r="L20" s="307" t="s">
        <v>1348</v>
      </c>
      <c r="M20" s="330">
        <f>'数据-取费表'!B52</f>
        <v>1.5</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1349</v>
      </c>
      <c r="C21" s="24" t="s">
        <v>1</v>
      </c>
      <c r="D21" s="328" t="s">
        <v>1350</v>
      </c>
      <c r="E21" s="307" t="s">
        <v>1351</v>
      </c>
      <c r="F21" s="327">
        <f>'数据-取费表'!B38</f>
        <v>0.02</v>
      </c>
      <c r="G21" s="1549"/>
      <c r="H21" s="331"/>
      <c r="I21" s="316"/>
      <c r="J21" s="29"/>
      <c r="K21" s="332"/>
      <c r="L21" s="307" t="s">
        <v>1352</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1353</v>
      </c>
      <c r="C22" s="24"/>
      <c r="D22" s="136" t="str">
        <f>IF(F23&lt;=1,"单利计息。","复利计息。")&amp;"建造成本、管理费用、销售费用产生的利息。"</f>
        <v>复利计息。建造成本、管理费用、销售费用产生的利息。</v>
      </c>
      <c r="E22" s="1513"/>
      <c r="F22" s="26"/>
      <c r="G22" s="1537"/>
      <c r="H22" s="1112" t="s">
        <v>1007</v>
      </c>
      <c r="I22" s="307" t="s">
        <v>1354</v>
      </c>
      <c r="J22" s="24">
        <f ca="1">ROUND(J14*M22,0)</f>
        <v>0</v>
      </c>
      <c r="K22" s="1497" t="s">
        <v>1355</v>
      </c>
      <c r="L22" s="307" t="s">
        <v>1327</v>
      </c>
      <c r="M22" s="333">
        <f ca="1">INDIRECT("'数据-取费表'!Ak"&amp;$G$1)</f>
        <v>0</v>
      </c>
    </row>
    <row r="23" spans="1:37" s="1550" customFormat="1" ht="18" customHeight="1">
      <c r="A23" s="1112" t="s">
        <v>1002</v>
      </c>
      <c r="B23" s="307" t="s">
        <v>1356</v>
      </c>
      <c r="C23" s="24">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1357</v>
      </c>
      <c r="F23" s="330">
        <f>'数据-取费表'!B20</f>
        <v>2</v>
      </c>
      <c r="G23" s="1549"/>
      <c r="H23" s="1112" t="s">
        <v>1043</v>
      </c>
      <c r="I23" s="307" t="s">
        <v>1358</v>
      </c>
      <c r="J23" s="24">
        <f ca="1">ROUND(J13*M23,0)</f>
        <v>0</v>
      </c>
      <c r="K23" s="1497" t="s">
        <v>1359</v>
      </c>
      <c r="L23" s="307" t="s">
        <v>1360</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1361</v>
      </c>
      <c r="B24" s="307" t="s">
        <v>1362</v>
      </c>
      <c r="C24" s="24">
        <f>ROUND(IF('数据-取费表'!B22&lt;=1,F21*F24*F23/2,F21*(POWER((1+F24),F23/2)-1)),4)</f>
        <v>1E-3</v>
      </c>
      <c r="D24" s="334" t="str">
        <f>IF(F23&lt;=1,"销售费用×利率×(建设周期÷2)","销售费用×((1+利率)^(建设周期÷2)-1)")</f>
        <v>销售费用×((1+利率)^(建设周期÷2)-1)</v>
      </c>
      <c r="E24" s="307" t="s">
        <v>1363</v>
      </c>
      <c r="F24" s="336">
        <f>'数据-取费表'!B40</f>
        <v>4.7500000000000001E-2</v>
      </c>
      <c r="G24" s="1549"/>
      <c r="H24" s="1220" t="s">
        <v>1298</v>
      </c>
      <c r="I24" s="1221" t="s">
        <v>1344</v>
      </c>
      <c r="J24" s="1222">
        <f ca="1">ROUND(J5*M24,0)</f>
        <v>0</v>
      </c>
      <c r="K24" s="1223" t="s">
        <v>1364</v>
      </c>
      <c r="L24" s="1221" t="s">
        <v>1360</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1365</v>
      </c>
      <c r="B25" s="307" t="s">
        <v>1366</v>
      </c>
      <c r="C25" s="24"/>
      <c r="D25" s="136" t="s">
        <v>1367</v>
      </c>
      <c r="E25" s="1513"/>
      <c r="F25" s="26"/>
      <c r="G25" s="1537"/>
      <c r="H25" s="1210" t="s">
        <v>999</v>
      </c>
      <c r="I25" s="1225" t="s">
        <v>1368</v>
      </c>
      <c r="J25" s="315">
        <f ca="1">J5-J16</f>
        <v>0</v>
      </c>
      <c r="K25" s="1226" t="s">
        <v>1369</v>
      </c>
      <c r="L25" s="1227"/>
      <c r="M25" s="1228"/>
    </row>
    <row r="26" spans="1:37" ht="18" customHeight="1">
      <c r="A26" s="1112" t="s">
        <v>1002</v>
      </c>
      <c r="B26" s="307" t="s">
        <v>1370</v>
      </c>
      <c r="C26" s="24">
        <f ca="1">ROUND((C19+C20)*F26,0)</f>
        <v>0</v>
      </c>
      <c r="D26" s="328" t="s">
        <v>1371</v>
      </c>
      <c r="E26" s="318" t="s">
        <v>1372</v>
      </c>
      <c r="F26" s="317">
        <f ca="1">INDIRECT("'数据-取费表'!q"&amp;$G$1)</f>
        <v>0</v>
      </c>
      <c r="G26" s="1537"/>
      <c r="H26" s="304" t="s">
        <v>1000</v>
      </c>
      <c r="I26" s="305" t="s">
        <v>1373</v>
      </c>
      <c r="J26" s="306">
        <f ca="1">IF(J5&lt;&gt;0,ROUND(J25*(1-((1+M28)/(1+M26))^M27)/(M26-M28),0),0)</f>
        <v>0</v>
      </c>
      <c r="K26" s="329" t="s">
        <v>1374</v>
      </c>
      <c r="L26" s="307" t="s">
        <v>1375</v>
      </c>
      <c r="M26" s="317">
        <f ca="1">INDIRECT("'数据-取费表'!I"&amp;$G$1)</f>
        <v>4.4999999999999998E-2</v>
      </c>
    </row>
    <row r="27" spans="1:37" ht="18" customHeight="1">
      <c r="A27" s="1112" t="s">
        <v>1004</v>
      </c>
      <c r="B27" s="307" t="s">
        <v>1376</v>
      </c>
      <c r="C27" s="24">
        <f ca="1">ROUND(F21*F26,4)</f>
        <v>0</v>
      </c>
      <c r="D27" s="328" t="s">
        <v>1377</v>
      </c>
      <c r="E27" s="325"/>
      <c r="F27" s="326"/>
      <c r="G27" s="1537"/>
      <c r="H27" s="309"/>
      <c r="I27" s="310"/>
      <c r="J27" s="311"/>
      <c r="K27" s="337" t="s">
        <v>1378</v>
      </c>
      <c r="L27" s="307" t="s">
        <v>1379</v>
      </c>
      <c r="M27" s="338">
        <f ca="1">INDIRECT("'数据-取费表'!ag"&amp;$G$1)</f>
        <v>0</v>
      </c>
    </row>
    <row r="28" spans="1:37" s="1550" customFormat="1" ht="18" customHeight="1">
      <c r="A28" s="1112" t="s">
        <v>1005</v>
      </c>
      <c r="B28" s="307" t="s">
        <v>1380</v>
      </c>
      <c r="C28" s="24">
        <f>ROUND(F28/(1+'数据-取费表'!C42),4)</f>
        <v>5.2400000000000002E-2</v>
      </c>
      <c r="D28" s="328" t="s">
        <v>1381</v>
      </c>
      <c r="E28" s="307" t="s">
        <v>1327</v>
      </c>
      <c r="F28" s="327">
        <f>'数据-取费表'!B41</f>
        <v>5.5000000000000007E-2</v>
      </c>
      <c r="G28" s="1549"/>
      <c r="H28" s="313"/>
      <c r="I28" s="314"/>
      <c r="J28" s="315"/>
      <c r="K28" s="332"/>
      <c r="L28" s="307" t="s">
        <v>1382</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1383</v>
      </c>
      <c r="C29" s="1222">
        <f ca="1">ROUND((C19+C20+C23+C26)/(1-F21-C24-C27-C28),0)</f>
        <v>0</v>
      </c>
      <c r="D29" s="1223"/>
      <c r="E29" s="1221"/>
      <c r="F29" s="1224"/>
      <c r="G29" s="1549"/>
      <c r="H29" s="339" t="s">
        <v>1001</v>
      </c>
      <c r="I29" s="340" t="s">
        <v>1384</v>
      </c>
      <c r="J29" s="341">
        <f ca="1">ROUND(J26/(1+F40)^F41,0)</f>
        <v>0</v>
      </c>
      <c r="K29" s="342" t="s">
        <v>1385</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1329</v>
      </c>
      <c r="C30" s="315">
        <f ca="1">ROUND(C31+C36+C37+C38,0)</f>
        <v>0</v>
      </c>
      <c r="D30" s="1218" t="s">
        <v>1330</v>
      </c>
      <c r="E30" s="1219"/>
      <c r="F30" s="1203"/>
      <c r="G30" s="1537"/>
      <c r="H30" s="2895"/>
      <c r="I30" s="1551"/>
      <c r="J30" s="1552"/>
      <c r="K30" s="2670"/>
      <c r="L30" s="2896"/>
      <c r="M30" s="2897"/>
    </row>
    <row r="31" spans="1:37" ht="18" customHeight="1">
      <c r="A31" s="1112" t="s">
        <v>1003</v>
      </c>
      <c r="B31" s="307"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2995</v>
      </c>
      <c r="I31" s="1551"/>
      <c r="J31" s="1552"/>
      <c r="K31" s="2670"/>
      <c r="L31" s="2896"/>
      <c r="M31" s="2897"/>
    </row>
    <row r="32" spans="1:37" ht="18" customHeight="1">
      <c r="A32" s="1112" t="s">
        <v>1002</v>
      </c>
      <c r="B32" s="307" t="s">
        <v>1338</v>
      </c>
      <c r="C32" s="24">
        <f ca="1">IF(项目基本情况!B11="自然人","——",ROUND(C6*F32/(1+'数据-取费表'!C42),0))</f>
        <v>0</v>
      </c>
      <c r="D32" s="1497" t="s">
        <v>1339</v>
      </c>
      <c r="E32" s="307" t="s">
        <v>1327</v>
      </c>
      <c r="F32" s="336">
        <f>'数据-取费表'!B41</f>
        <v>5.5000000000000007E-2</v>
      </c>
      <c r="G32" s="1537"/>
      <c r="H32" s="2895"/>
      <c r="I32" s="1551"/>
      <c r="J32" s="1552"/>
      <c r="K32" s="2670"/>
      <c r="L32" s="2896"/>
      <c r="M32" s="2897"/>
    </row>
    <row r="33" spans="1:18" ht="18" customHeight="1">
      <c r="A33" s="1112" t="s">
        <v>1004</v>
      </c>
      <c r="B33" s="307" t="s">
        <v>1342</v>
      </c>
      <c r="C33" s="24">
        <f ca="1">IF(项目基本情况!B11="自然人","——",IF(D33="按租金收入计税",ROUND(C6*F33/(1+'数据-取费表'!C42),0),IF(D33="按房产原值计税",ROUND(C29*F33*0.7,0),INDIRECT("'数据-取费表'!Aj"&amp;$G$1))))</f>
        <v>0</v>
      </c>
      <c r="D33" s="1523" t="s">
        <v>1343</v>
      </c>
      <c r="E33" s="307" t="s">
        <v>1327</v>
      </c>
      <c r="F33" s="327">
        <f>IF(D33="按票据","——",IF(D33="按租金收入计税",'数据-取费表'!B51,'数据-取费表'!B50))</f>
        <v>1.2E-2</v>
      </c>
      <c r="G33" s="1537"/>
      <c r="H33" s="2898"/>
      <c r="I33" s="1551"/>
      <c r="J33" s="1552"/>
      <c r="K33" s="2899"/>
      <c r="L33" s="2898"/>
      <c r="M33" s="2898"/>
    </row>
    <row r="34" spans="1:18" ht="18" customHeight="1">
      <c r="A34" s="1200" t="s">
        <v>1294</v>
      </c>
      <c r="B34" s="159" t="s">
        <v>1346</v>
      </c>
      <c r="C34" s="25">
        <f ca="1">IF(项目基本情况!B11="自然人","——",ROUND(F34*F35,))</f>
        <v>0</v>
      </c>
      <c r="D34" s="329" t="s">
        <v>1347</v>
      </c>
      <c r="E34" s="307" t="s">
        <v>1348</v>
      </c>
      <c r="F34" s="330">
        <f>'数据-取费表'!B52</f>
        <v>1.5</v>
      </c>
      <c r="G34" s="1537"/>
      <c r="H34" s="2895"/>
      <c r="I34" s="1551"/>
      <c r="J34" s="1552"/>
      <c r="K34" s="2900"/>
      <c r="L34" s="2901"/>
      <c r="M34" s="2901"/>
    </row>
    <row r="35" spans="1:18" ht="18" customHeight="1">
      <c r="A35" s="1234"/>
      <c r="B35" s="1232"/>
      <c r="C35" s="29"/>
      <c r="D35" s="332"/>
      <c r="E35" s="307" t="s">
        <v>1352</v>
      </c>
      <c r="F35" s="308">
        <f ca="1">INDIRECT("'数据-取费表'!r"&amp;$G$1)</f>
        <v>0</v>
      </c>
      <c r="G35" s="1537"/>
      <c r="H35" s="2895"/>
      <c r="I35" s="1551"/>
      <c r="J35" s="1552"/>
      <c r="K35" s="2899"/>
      <c r="L35" s="2898"/>
      <c r="M35" s="2898"/>
    </row>
    <row r="36" spans="1:18" ht="18" customHeight="1">
      <c r="A36" s="1233" t="s">
        <v>1007</v>
      </c>
      <c r="B36" s="307" t="s">
        <v>1354</v>
      </c>
      <c r="C36" s="24">
        <f ca="1">ROUND(C29*F36,0)</f>
        <v>0</v>
      </c>
      <c r="D36" s="1497" t="s">
        <v>1387</v>
      </c>
      <c r="E36" s="307" t="s">
        <v>1327</v>
      </c>
      <c r="F36" s="333">
        <f ca="1">INDIRECT("'数据-取费表'!Ak"&amp;$G$1)</f>
        <v>0</v>
      </c>
      <c r="G36" s="1537"/>
      <c r="H36" s="2898"/>
      <c r="I36" s="1551"/>
      <c r="J36" s="1552"/>
      <c r="K36" s="2739"/>
      <c r="L36" s="2898"/>
      <c r="M36" s="2898"/>
    </row>
    <row r="37" spans="1:18" ht="18" customHeight="1">
      <c r="A37" s="1112" t="s">
        <v>1043</v>
      </c>
      <c r="B37" s="307" t="s">
        <v>1358</v>
      </c>
      <c r="C37" s="24">
        <f ca="1">ROUND(C13*F37,0)</f>
        <v>0</v>
      </c>
      <c r="D37" s="1497" t="s">
        <v>1359</v>
      </c>
      <c r="E37" s="307" t="s">
        <v>1360</v>
      </c>
      <c r="F37" s="335">
        <f ca="1">INDIRECT("'数据-取费表'!Al"&amp;$G$1)</f>
        <v>0</v>
      </c>
      <c r="G37" s="1537"/>
      <c r="H37" s="2898"/>
      <c r="I37" s="1551"/>
      <c r="J37" s="1552"/>
      <c r="K37" s="2739"/>
      <c r="L37" s="2898"/>
      <c r="M37" s="2898"/>
    </row>
    <row r="38" spans="1:18" ht="18" customHeight="1" thickBot="1">
      <c r="A38" s="1220" t="s">
        <v>1298</v>
      </c>
      <c r="B38" s="1221" t="s">
        <v>1344</v>
      </c>
      <c r="C38" s="1222">
        <f ca="1">ROUND(C5*F38,1)</f>
        <v>0</v>
      </c>
      <c r="D38" s="1223" t="s">
        <v>1364</v>
      </c>
      <c r="E38" s="1221" t="s">
        <v>1360</v>
      </c>
      <c r="F38" s="1217">
        <f ca="1">INDIRECT("'数据-取费表'!Am"&amp;$G$1)</f>
        <v>0</v>
      </c>
      <c r="G38" s="1537"/>
      <c r="H38" s="2898"/>
      <c r="I38" s="1551"/>
      <c r="J38" s="1552"/>
      <c r="K38" s="2902"/>
      <c r="L38" s="2898"/>
      <c r="M38" s="2898"/>
    </row>
    <row r="39" spans="1:18" ht="24.6" customHeight="1" thickTop="1">
      <c r="A39" s="1210" t="s">
        <v>999</v>
      </c>
      <c r="B39" s="1225" t="s">
        <v>1388</v>
      </c>
      <c r="C39" s="315">
        <f ca="1">C5-C30</f>
        <v>0</v>
      </c>
      <c r="D39" s="1226" t="s">
        <v>1389</v>
      </c>
      <c r="E39" s="1227"/>
      <c r="F39" s="1228"/>
      <c r="G39" s="1537"/>
      <c r="H39" s="2898"/>
      <c r="I39" s="1551"/>
      <c r="J39" s="1552"/>
      <c r="K39" s="2902"/>
      <c r="L39" s="2898"/>
      <c r="M39" s="2898"/>
    </row>
    <row r="40" spans="1:18" ht="18" customHeight="1">
      <c r="A40" s="304" t="s">
        <v>1000</v>
      </c>
      <c r="B40" s="305" t="s">
        <v>1390</v>
      </c>
      <c r="C40" s="306">
        <f ca="1">ROUND(C39*(1-((1+F42)/(1+F40))^F41)/(F40-F42),0)</f>
        <v>0</v>
      </c>
      <c r="D40" s="329" t="s">
        <v>1374</v>
      </c>
      <c r="E40" s="307" t="s">
        <v>1375</v>
      </c>
      <c r="F40" s="317">
        <f ca="1">INDIRECT("'数据-取费表'!I"&amp;$G$1)</f>
        <v>4.4999999999999998E-2</v>
      </c>
      <c r="G40" s="1537"/>
      <c r="H40" s="1614"/>
      <c r="I40" s="1551"/>
      <c r="J40" s="1552"/>
      <c r="K40" s="2902"/>
      <c r="L40" s="1614"/>
      <c r="M40" s="1614"/>
    </row>
    <row r="41" spans="1:18" ht="18" customHeight="1">
      <c r="A41" s="309"/>
      <c r="B41" s="310"/>
      <c r="C41" s="311"/>
      <c r="D41" s="337" t="s">
        <v>1391</v>
      </c>
      <c r="E41" s="307" t="s">
        <v>1379</v>
      </c>
      <c r="F41" s="338">
        <f ca="1">IF(INDIRECT("'数据-取费表'!af"&amp;$G$1)=0,INDIRECT("'数据-取费表'!ae"&amp;$G$1),INDIRECT("'数据-取费表'!af"&amp;$G$1))</f>
        <v>0</v>
      </c>
      <c r="G41" s="1537"/>
      <c r="H41" s="1324"/>
      <c r="I41" s="1551"/>
      <c r="J41" s="1552"/>
      <c r="K41" s="2739"/>
      <c r="L41" s="1324"/>
      <c r="M41" s="1324"/>
    </row>
    <row r="42" spans="1:18" ht="18" customHeight="1">
      <c r="A42" s="313"/>
      <c r="B42" s="314"/>
      <c r="C42" s="315"/>
      <c r="D42" s="332"/>
      <c r="E42" s="307" t="s">
        <v>1382</v>
      </c>
      <c r="F42" s="317">
        <f ca="1">INDIRECT("'数据-取费表'!v"&amp;$G$1)</f>
        <v>0</v>
      </c>
      <c r="G42" s="1537"/>
      <c r="H42" s="1324"/>
      <c r="I42" s="1551"/>
      <c r="J42" s="1552"/>
      <c r="K42" s="2739"/>
      <c r="L42" s="1324"/>
      <c r="M42" s="1324"/>
    </row>
    <row r="43" spans="1:18" ht="18" customHeight="1" thickBot="1">
      <c r="A43" s="339" t="s">
        <v>1001</v>
      </c>
      <c r="B43" s="340" t="s">
        <v>1392</v>
      </c>
      <c r="C43" s="341" t="e">
        <f ca="1">ROUND(C40/F43,0)</f>
        <v>#DIV/0!</v>
      </c>
      <c r="D43" s="342" t="s">
        <v>1393</v>
      </c>
      <c r="E43" s="343" t="s">
        <v>1394</v>
      </c>
      <c r="F43" s="344">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f ca="1">C68-C40</f>
        <v>0</v>
      </c>
      <c r="D45" s="1626" t="s">
        <v>1509</v>
      </c>
      <c r="E45" s="1553"/>
      <c r="F45" s="1553"/>
      <c r="O45" s="1556" t="s">
        <v>1424</v>
      </c>
      <c r="P45" s="1614"/>
      <c r="Q45" s="1614"/>
      <c r="R45" s="1614"/>
    </row>
    <row r="46" spans="1:18" s="1537" customFormat="1" ht="13.5" thickBot="1">
      <c r="A46" s="1557" t="s">
        <v>1425</v>
      </c>
      <c r="C46" s="1558">
        <f ca="1">ROUND(C45/10000,0)</f>
        <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6" t="s">
        <v>1301</v>
      </c>
      <c r="B47" s="1108" t="s">
        <v>1302</v>
      </c>
      <c r="C47" s="1108" t="s">
        <v>1303</v>
      </c>
      <c r="D47" s="1108" t="s">
        <v>1304</v>
      </c>
      <c r="E47" s="1188" t="s">
        <v>1305</v>
      </c>
      <c r="F47" s="1189"/>
      <c r="G47" s="730"/>
      <c r="I47" s="1567" t="s">
        <v>1431</v>
      </c>
      <c r="J47" s="1568"/>
      <c r="K47" s="1569" t="s">
        <v>1432</v>
      </c>
      <c r="L47" s="1570">
        <f ca="1">INDIRECT("'数据-取费表'!d"&amp;$G$1)</f>
        <v>70</v>
      </c>
      <c r="M47" s="1533" t="str">
        <f>IF(ISNUMBER(FIND("住宅",C1)),"住宅","非住宅")</f>
        <v>非住宅</v>
      </c>
      <c r="O47" s="1571" t="s">
        <v>1008</v>
      </c>
      <c r="P47" s="1572" t="s">
        <v>1433</v>
      </c>
      <c r="Q47" s="1573">
        <f ca="1">C40+J29</f>
        <v>0</v>
      </c>
      <c r="R47" s="1573" t="s">
        <v>1434</v>
      </c>
    </row>
    <row r="48" spans="1:18" s="1537" customFormat="1" ht="28.5" thickBot="1">
      <c r="A48" s="1241" t="s">
        <v>1044</v>
      </c>
      <c r="B48" s="305" t="s">
        <v>1306</v>
      </c>
      <c r="C48" s="1512">
        <f ca="1">C49+C53+C55</f>
        <v>0</v>
      </c>
      <c r="D48" s="1243"/>
      <c r="E48" s="1244"/>
      <c r="F48" s="1092"/>
      <c r="G48" s="730"/>
      <c r="H48" s="731"/>
      <c r="I48" s="1574" t="s">
        <v>1435</v>
      </c>
      <c r="J48" s="1575"/>
      <c r="K48" s="1576" t="s">
        <v>1436</v>
      </c>
      <c r="L48" s="1577">
        <f ca="1">INDIRECT("'数据-取费表'!f"&amp;$G$1)</f>
        <v>69.260000000000005</v>
      </c>
      <c r="O48" s="1571" t="s">
        <v>1009</v>
      </c>
      <c r="P48" s="1572" t="s">
        <v>1437</v>
      </c>
      <c r="Q48" s="1573" t="str">
        <f ca="1">J60</f>
        <v>0</v>
      </c>
      <c r="R48" s="1573" t="s">
        <v>1438</v>
      </c>
    </row>
    <row r="49" spans="1:18" s="1537" customFormat="1" ht="13.5" thickBot="1">
      <c r="A49" s="1105" t="s">
        <v>1045</v>
      </c>
      <c r="B49" s="1524" t="s">
        <v>1395</v>
      </c>
      <c r="C49" s="1245">
        <f ca="1">ROUND(F49*F51*F50*(1-F52),0)</f>
        <v>0</v>
      </c>
      <c r="D49" s="1185" t="s">
        <v>1309</v>
      </c>
      <c r="E49" s="1525" t="s">
        <v>1396</v>
      </c>
      <c r="F49" s="1190"/>
      <c r="G49" s="1578"/>
      <c r="H49" s="731"/>
      <c r="I49" s="1574" t="s">
        <v>1439</v>
      </c>
      <c r="J49" s="1579"/>
      <c r="K49" s="1576" t="s">
        <v>1440</v>
      </c>
      <c r="L49" s="1580"/>
      <c r="O49" s="1581" t="s">
        <v>1010</v>
      </c>
      <c r="P49" s="1572" t="s">
        <v>1441</v>
      </c>
      <c r="Q49" s="1573">
        <f ca="1">C29</f>
        <v>0</v>
      </c>
      <c r="R49" s="1573" t="s">
        <v>1434</v>
      </c>
    </row>
    <row r="50" spans="1:18" s="1537" customFormat="1" ht="13.5" thickBot="1">
      <c r="A50" s="1106"/>
      <c r="B50" s="1109"/>
      <c r="C50" s="1110"/>
      <c r="D50" s="1083"/>
      <c r="E50" s="1186" t="s">
        <v>1311</v>
      </c>
      <c r="F50" s="1187">
        <f ca="1">F7</f>
        <v>0</v>
      </c>
      <c r="H50" s="731"/>
      <c r="I50" s="1574" t="s">
        <v>1442</v>
      </c>
      <c r="J50" s="1582">
        <f>SUMPRODUCT((I63:I65=J47)*(J62:L62=J48)*(J63:L65))</f>
        <v>0</v>
      </c>
      <c r="K50" s="1576" t="s">
        <v>1443</v>
      </c>
      <c r="L50" s="1580"/>
      <c r="M50" s="1583"/>
      <c r="O50" s="1581" t="s">
        <v>1011</v>
      </c>
      <c r="P50" s="1572" t="s">
        <v>1444</v>
      </c>
      <c r="Q50" s="1584" t="e">
        <f ca="1">J58</f>
        <v>#VALUE!</v>
      </c>
      <c r="R50" s="1573"/>
    </row>
    <row r="51" spans="1:18" s="1537" customFormat="1" ht="13.5" thickBot="1">
      <c r="A51" s="1107"/>
      <c r="B51" s="1109"/>
      <c r="C51" s="1110"/>
      <c r="D51" s="1083"/>
      <c r="E51" s="1111" t="s">
        <v>1312</v>
      </c>
      <c r="F51" s="308">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7"/>
      <c r="B52" s="1109"/>
      <c r="C52" s="1110"/>
      <c r="D52" s="1083"/>
      <c r="E52" s="1111" t="s">
        <v>1313</v>
      </c>
      <c r="F52" s="1184"/>
      <c r="I52" s="1590" t="s">
        <v>1448</v>
      </c>
      <c r="J52" s="1591"/>
      <c r="K52" s="1590" t="s">
        <v>1449</v>
      </c>
      <c r="L52" s="1591"/>
      <c r="O52" s="1581" t="s">
        <v>1013</v>
      </c>
      <c r="P52" s="1572" t="s">
        <v>1450</v>
      </c>
      <c r="Q52" s="1573">
        <f ca="1">J53</f>
        <v>0</v>
      </c>
      <c r="R52" s="1573" t="s">
        <v>1451</v>
      </c>
    </row>
    <row r="53" spans="1:18" s="1537" customFormat="1" ht="30.75" customHeight="1" thickBot="1">
      <c r="A53" s="1242" t="s">
        <v>1046</v>
      </c>
      <c r="B53" s="328" t="s">
        <v>1314</v>
      </c>
      <c r="C53" s="321">
        <f ca="1">ROUND(IF(F53="押一",C49/12*F11,IF(F53="押二",C49/12*2*F11,IF(F53="押三",C49/12*3*F11,C54*F11))),0)</f>
        <v>0</v>
      </c>
      <c r="D53" s="1519" t="s">
        <v>2798</v>
      </c>
      <c r="E53" s="318" t="s">
        <v>1315</v>
      </c>
      <c r="F53" s="1247"/>
      <c r="I53" s="1592" t="s">
        <v>1452</v>
      </c>
      <c r="J53" s="2355">
        <f ca="1">IF(M47="住宅",IF(D1="——",MAX(J51,L48),MAX(J51,L48-'数据-取费表'!B24)),IF(D1="——",MIN(J51,L48),MIN(J51,L48-'数据-取费表'!B24)))</f>
        <v>0</v>
      </c>
      <c r="K53" s="3493" t="s">
        <v>1453</v>
      </c>
      <c r="L53" s="3494"/>
      <c r="O53" s="1571" t="s">
        <v>1014</v>
      </c>
      <c r="P53" s="1572" t="s">
        <v>1454</v>
      </c>
      <c r="Q53" s="1573">
        <f ca="1">Q47+Q48</f>
        <v>0</v>
      </c>
      <c r="R53" s="1573" t="s">
        <v>1015</v>
      </c>
    </row>
    <row r="54" spans="1:18" s="1537" customFormat="1" ht="13.5" thickBot="1">
      <c r="A54" s="1105"/>
      <c r="B54" s="1627" t="s">
        <v>1508</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4" t="s">
        <v>1043</v>
      </c>
      <c r="B55" s="1522" t="s">
        <v>1318</v>
      </c>
      <c r="C55" s="1215"/>
      <c r="D55" s="1519"/>
      <c r="E55" s="1527"/>
      <c r="F55" s="1593"/>
      <c r="I55" s="1596" t="s">
        <v>1456</v>
      </c>
      <c r="J55" s="1597" t="e">
        <f ca="1">ROUND(IF(J47="钢混",J57/J50,1-(1-2%)*(J50-J57)/J50),3)</f>
        <v>#VALUE!</v>
      </c>
      <c r="K55" s="1598" t="s">
        <v>1457</v>
      </c>
      <c r="L55" s="1599"/>
      <c r="O55" s="1564" t="s">
        <v>1427</v>
      </c>
      <c r="P55" s="1565" t="s">
        <v>1428</v>
      </c>
      <c r="Q55" s="1566" t="s">
        <v>1429</v>
      </c>
      <c r="R55" s="1566" t="s">
        <v>1430</v>
      </c>
    </row>
    <row r="56" spans="1:18" s="1537" customFormat="1" ht="36" customHeight="1" thickTop="1" thickBot="1">
      <c r="A56" s="1087">
        <v>2</v>
      </c>
      <c r="B56" s="1088" t="s">
        <v>1319</v>
      </c>
      <c r="C56" s="237">
        <f ca="1">C13</f>
        <v>0</v>
      </c>
      <c r="D56" s="1600"/>
      <c r="E56" s="1601"/>
      <c r="F56" s="1593"/>
      <c r="I56" s="1602" t="s">
        <v>1459</v>
      </c>
      <c r="J56" s="1603"/>
      <c r="K56" s="1574" t="s">
        <v>1460</v>
      </c>
      <c r="L56" s="1577">
        <f ca="1">IF(L48&lt;J51,"——",L48-J51)</f>
        <v>69.260000000000005</v>
      </c>
      <c r="O56" s="1571" t="s">
        <v>1008</v>
      </c>
      <c r="P56" s="1572" t="s">
        <v>1433</v>
      </c>
      <c r="Q56" s="1573">
        <f ca="1">C40+J29</f>
        <v>0</v>
      </c>
      <c r="R56" s="1573" t="s">
        <v>1434</v>
      </c>
    </row>
    <row r="57" spans="1:18" s="1537" customFormat="1" ht="24.75" thickBot="1">
      <c r="A57" s="1604"/>
      <c r="B57" s="1080" t="s">
        <v>1383</v>
      </c>
      <c r="C57" s="243">
        <f ca="1">C29</f>
        <v>0</v>
      </c>
      <c r="D57" s="1605"/>
      <c r="E57" s="1606"/>
      <c r="F57" s="1607"/>
      <c r="I57" s="1608" t="s">
        <v>1461</v>
      </c>
      <c r="J57" s="1609" t="str">
        <f ca="1">IF(OR(M47="住宅",J51&lt;L48,J56="是"),"——",J51-L48)</f>
        <v>——</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0" t="s">
        <v>998</v>
      </c>
      <c r="B58" s="1088" t="s">
        <v>1329</v>
      </c>
      <c r="C58" s="321">
        <f ca="1">ROUND(C59+C64+C65+C66,0)</f>
        <v>0</v>
      </c>
      <c r="D58" s="1090" t="s">
        <v>1330</v>
      </c>
      <c r="E58" s="1091"/>
      <c r="F58" s="1092"/>
      <c r="I58" s="1608" t="s">
        <v>1465</v>
      </c>
      <c r="J58" s="1610" t="e">
        <f ca="1">IF(J55&lt;0.4,0.4,J55)</f>
        <v>#VALUE!</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2" t="s">
        <v>1003</v>
      </c>
      <c r="B59" s="1080" t="s">
        <v>1334</v>
      </c>
      <c r="C59" s="2503">
        <f ca="1">ROUND(IF(AND(项目基本情况!B11="自然人",项目基本情况!B10="北京市"),C49*F59/(1+'数据-取费表'!C42),C60+C61+C62),0)</f>
        <v>0</v>
      </c>
      <c r="D59" s="1093" t="s">
        <v>1335</v>
      </c>
      <c r="E59" s="1094"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2" t="s">
        <v>1002</v>
      </c>
      <c r="B60" s="1080" t="s">
        <v>1338</v>
      </c>
      <c r="C60" s="24">
        <f ca="1">IF(项目基本情况!B11="自然人","——",ROUND(C48*F60/(1+'数据-取费表'!C42),0))</f>
        <v>0</v>
      </c>
      <c r="D60" s="1094" t="s">
        <v>1339</v>
      </c>
      <c r="E60" s="1080" t="s">
        <v>1327</v>
      </c>
      <c r="F60" s="336">
        <f t="shared" ref="F60:F66" si="0">F32</f>
        <v>5.5000000000000007E-2</v>
      </c>
      <c r="I60" s="1611" t="s">
        <v>1470</v>
      </c>
      <c r="J60" s="1612" t="str">
        <f ca="1">IF(OR(M47="住宅",J51&lt;L48,J56="是"),"0",ROUND(J59/(1+J52)^J53,0))</f>
        <v>0</v>
      </c>
      <c r="K60" s="1613" t="s">
        <v>1471</v>
      </c>
      <c r="L60" s="1612" t="e">
        <f ca="1">IF(OR(M47="住宅",L48&lt;J51),0,ROUND(L57*(L58/L59-1),0))</f>
        <v>#DIV/0!</v>
      </c>
      <c r="O60" s="1581" t="s">
        <v>1012</v>
      </c>
      <c r="P60" s="1572" t="s">
        <v>1472</v>
      </c>
      <c r="Q60" s="1573" t="e">
        <f ca="1">L58</f>
        <v>#DIV/0!</v>
      </c>
      <c r="R60" s="1573" t="s">
        <v>1473</v>
      </c>
    </row>
    <row r="61" spans="1:18" s="1537" customFormat="1" ht="13.5" thickBot="1">
      <c r="A61" s="1112" t="s">
        <v>1397</v>
      </c>
      <c r="B61" s="1080" t="s">
        <v>1398</v>
      </c>
      <c r="C61" s="24">
        <f ca="1">IF(项目基本情况!B11="自然人","——",IF(D61="按租金收入计税",ROUND(C49*F61/(1+'数据-取费表'!C42),0),IF(D61="按房产原值计税",ROUND(C57*F61*0.7,0),INDIRECT("'数据-取费表'!Aj"&amp;$G$1))))</f>
        <v>0</v>
      </c>
      <c r="D61" s="1523" t="s">
        <v>1343</v>
      </c>
      <c r="E61" s="1080" t="s">
        <v>1399</v>
      </c>
      <c r="F61" s="327">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2" t="s">
        <v>1400</v>
      </c>
      <c r="B62" s="1079" t="s">
        <v>1401</v>
      </c>
      <c r="C62" s="25">
        <f ca="1">IF(项目基本情况!B11="自然人","——",ROUND(F62*F63,0))</f>
        <v>0</v>
      </c>
      <c r="D62" s="1095" t="s">
        <v>1402</v>
      </c>
      <c r="E62" s="1080" t="s">
        <v>1403</v>
      </c>
      <c r="F62" s="330">
        <f t="shared" si="0"/>
        <v>1.5</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1"/>
      <c r="B63" s="1086"/>
      <c r="C63" s="29"/>
      <c r="D63" s="1096"/>
      <c r="E63" s="1080" t="s">
        <v>1404</v>
      </c>
      <c r="F63" s="308">
        <f t="shared" ca="1" si="0"/>
        <v>0</v>
      </c>
      <c r="I63" s="1615" t="s">
        <v>1481</v>
      </c>
      <c r="J63" s="1616">
        <v>70</v>
      </c>
      <c r="K63" s="1616">
        <v>50</v>
      </c>
      <c r="L63" s="1616">
        <v>80</v>
      </c>
      <c r="M63" s="1618">
        <v>0.02</v>
      </c>
      <c r="O63" s="1556" t="s">
        <v>1482</v>
      </c>
      <c r="P63" s="1534"/>
      <c r="Q63" s="1534"/>
      <c r="R63" s="1534"/>
    </row>
    <row r="64" spans="1:18" s="1537" customFormat="1" ht="13.5" thickBot="1">
      <c r="A64" s="1112" t="s">
        <v>1405</v>
      </c>
      <c r="B64" s="1080" t="s">
        <v>1406</v>
      </c>
      <c r="C64" s="24">
        <f ca="1">ROUND(C57*F64,0)</f>
        <v>0</v>
      </c>
      <c r="D64" s="1094" t="s">
        <v>1407</v>
      </c>
      <c r="E64" s="1080" t="s">
        <v>1399</v>
      </c>
      <c r="F64" s="333">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2" t="s">
        <v>1408</v>
      </c>
      <c r="B65" s="1080" t="s">
        <v>1358</v>
      </c>
      <c r="C65" s="24">
        <f ca="1">ROUND(C56*F65,0)</f>
        <v>0</v>
      </c>
      <c r="D65" s="1094" t="s">
        <v>1359</v>
      </c>
      <c r="E65" s="1080" t="s">
        <v>1360</v>
      </c>
      <c r="F65" s="335">
        <f t="shared" ca="1" si="0"/>
        <v>0</v>
      </c>
      <c r="I65" s="1615" t="s">
        <v>1484</v>
      </c>
      <c r="J65" s="1616">
        <v>40</v>
      </c>
      <c r="K65" s="1616">
        <v>30</v>
      </c>
      <c r="L65" s="1616">
        <v>50</v>
      </c>
      <c r="M65" s="1618">
        <v>0.02</v>
      </c>
      <c r="O65" s="1571" t="s">
        <v>1008</v>
      </c>
      <c r="P65" s="1572" t="s">
        <v>1485</v>
      </c>
      <c r="Q65" s="1573">
        <f ca="1">C40+J29</f>
        <v>0</v>
      </c>
      <c r="R65" s="1573" t="s">
        <v>1434</v>
      </c>
    </row>
    <row r="66" spans="1:18" s="1537" customFormat="1" ht="16.5" thickBot="1">
      <c r="A66" s="1112" t="s">
        <v>1409</v>
      </c>
      <c r="B66" s="1080" t="s">
        <v>1344</v>
      </c>
      <c r="C66" s="24">
        <f ca="1">ROUND(C48*F66,0)</f>
        <v>0</v>
      </c>
      <c r="D66" s="1094" t="s">
        <v>1410</v>
      </c>
      <c r="E66" s="1080" t="s">
        <v>1327</v>
      </c>
      <c r="F66" s="317">
        <f t="shared" ca="1" si="0"/>
        <v>0</v>
      </c>
      <c r="O66" s="1571" t="s">
        <v>1009</v>
      </c>
      <c r="P66" s="1572" t="s">
        <v>1463</v>
      </c>
      <c r="Q66" s="1573" t="e">
        <f ca="1">L60</f>
        <v>#DIV/0!</v>
      </c>
      <c r="R66" s="1573" t="s">
        <v>1486</v>
      </c>
    </row>
    <row r="67" spans="1:18" s="1537" customFormat="1" ht="16.5" thickBot="1">
      <c r="A67" s="1087" t="s">
        <v>999</v>
      </c>
      <c r="B67" s="1097" t="s">
        <v>1368</v>
      </c>
      <c r="C67" s="321">
        <f ca="1">C48-C58</f>
        <v>0</v>
      </c>
      <c r="D67" s="1093" t="s">
        <v>1369</v>
      </c>
      <c r="E67" s="1098"/>
      <c r="F67" s="1099"/>
      <c r="O67" s="1581" t="s">
        <v>1010</v>
      </c>
      <c r="P67" s="1572" t="s">
        <v>1467</v>
      </c>
      <c r="Q67" s="1619">
        <f ca="1">L51</f>
        <v>0</v>
      </c>
      <c r="R67" s="1573" t="s">
        <v>1487</v>
      </c>
    </row>
    <row r="68" spans="1:18" s="1537" customFormat="1" ht="16.5" thickBot="1">
      <c r="A68" s="1077" t="s">
        <v>1000</v>
      </c>
      <c r="B68" s="1078" t="s">
        <v>1390</v>
      </c>
      <c r="C68" s="306">
        <f ca="1">ROUND(C67*(1-((1+F70)/(1+F68))^F69)/(F68-F70),0)</f>
        <v>0</v>
      </c>
      <c r="D68" s="1095" t="s">
        <v>1374</v>
      </c>
      <c r="E68" s="1080" t="s">
        <v>1375</v>
      </c>
      <c r="F68" s="317">
        <f ca="1">F40</f>
        <v>4.4999999999999998E-2</v>
      </c>
      <c r="O68" s="1581" t="s">
        <v>1011</v>
      </c>
      <c r="P68" s="1620" t="s">
        <v>1488</v>
      </c>
      <c r="Q68" s="1573">
        <f ca="1">ROUND(Q69-Q70*Q71,0)</f>
        <v>0</v>
      </c>
      <c r="R68" s="1573" t="s">
        <v>1019</v>
      </c>
    </row>
    <row r="69" spans="1:18" s="1537" customFormat="1" ht="13.5" thickBot="1">
      <c r="A69" s="1081"/>
      <c r="B69" s="1082"/>
      <c r="C69" s="311"/>
      <c r="D69" s="1100" t="s">
        <v>1378</v>
      </c>
      <c r="E69" s="1080" t="s">
        <v>1379</v>
      </c>
      <c r="F69" s="338">
        <f ca="1">F41</f>
        <v>0</v>
      </c>
      <c r="O69" s="1581" t="s">
        <v>1016</v>
      </c>
      <c r="P69" s="1620" t="s">
        <v>1489</v>
      </c>
      <c r="Q69" s="1573">
        <f ca="1">C39</f>
        <v>0</v>
      </c>
      <c r="R69" s="1573" t="s">
        <v>1434</v>
      </c>
    </row>
    <row r="70" spans="1:18" s="1537" customFormat="1" ht="13.5" thickBot="1">
      <c r="A70" s="1084"/>
      <c r="B70" s="1085"/>
      <c r="C70" s="315"/>
      <c r="D70" s="1096"/>
      <c r="E70" s="1080" t="s">
        <v>1382</v>
      </c>
      <c r="F70" s="1184">
        <f ca="1">F42</f>
        <v>0</v>
      </c>
      <c r="O70" s="1581" t="s">
        <v>1017</v>
      </c>
      <c r="P70" s="1620" t="s">
        <v>1490</v>
      </c>
      <c r="Q70" s="1573">
        <f ca="1">C13</f>
        <v>0</v>
      </c>
      <c r="R70" s="1573" t="s">
        <v>1434</v>
      </c>
    </row>
    <row r="71" spans="1:18" s="1537" customFormat="1" ht="13.5" thickBot="1">
      <c r="A71" s="1101" t="s">
        <v>1001</v>
      </c>
      <c r="B71" s="1102" t="s">
        <v>1392</v>
      </c>
      <c r="C71" s="341" t="e">
        <f ca="1">ROUND(C68/F71,0)</f>
        <v>#DIV/0!</v>
      </c>
      <c r="D71" s="1103" t="s">
        <v>1393</v>
      </c>
      <c r="E71" s="1104" t="s">
        <v>1394</v>
      </c>
      <c r="F71" s="344">
        <f ca="1">F43</f>
        <v>0</v>
      </c>
      <c r="O71" s="1581" t="s">
        <v>1018</v>
      </c>
      <c r="P71" s="1620" t="s">
        <v>1491</v>
      </c>
      <c r="Q71" s="1584">
        <f ca="1">C76</f>
        <v>6.5000000000000002E-2</v>
      </c>
      <c r="R71" s="1573"/>
    </row>
    <row r="72" spans="1:18" s="1537" customFormat="1" ht="13.5" thickBot="1">
      <c r="B72" s="734"/>
      <c r="C72" s="734"/>
      <c r="O72" s="1581" t="s">
        <v>1012</v>
      </c>
      <c r="P72" s="1572" t="s">
        <v>1469</v>
      </c>
      <c r="Q72" s="1584">
        <f>L52</f>
        <v>0</v>
      </c>
      <c r="R72" s="1573"/>
    </row>
    <row r="73" spans="1:18" ht="16.5" thickBot="1">
      <c r="A73" s="1537"/>
      <c r="B73" s="734"/>
      <c r="C73" s="734"/>
      <c r="D73" s="1537"/>
      <c r="E73" s="1537"/>
      <c r="F73" s="1537"/>
      <c r="O73" s="1581" t="s">
        <v>1013</v>
      </c>
      <c r="P73" s="1572" t="s">
        <v>1472</v>
      </c>
      <c r="Q73" s="1573" t="e">
        <f ca="1">L58</f>
        <v>#DIV/0!</v>
      </c>
      <c r="R73" s="1573" t="s">
        <v>1473</v>
      </c>
    </row>
    <row r="74" spans="1:18" ht="13.5" thickBot="1">
      <c r="A74" s="1537"/>
      <c r="B74" s="278"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5" t="s">
        <v>1411</v>
      </c>
      <c r="C75" s="346">
        <f ca="1">ROUND(C13*C76,0)</f>
        <v>0</v>
      </c>
      <c r="D75" s="1537"/>
      <c r="E75" s="1537"/>
      <c r="F75" s="1537"/>
      <c r="K75" s="1555"/>
      <c r="L75" s="1537"/>
      <c r="O75" s="1571" t="s">
        <v>1014</v>
      </c>
      <c r="P75" s="1572" t="s">
        <v>1454</v>
      </c>
      <c r="Q75" s="1573" t="e">
        <f ca="1">Q65+Q66</f>
        <v>#DIV/0!</v>
      </c>
      <c r="R75" s="1573" t="s">
        <v>1015</v>
      </c>
    </row>
    <row r="76" spans="1:18">
      <c r="B76" s="347" t="s">
        <v>1412</v>
      </c>
      <c r="C76" s="348">
        <f ca="1">INDIRECT("'数据-取费表'!j"&amp;$G$1)</f>
        <v>6.5000000000000002E-2</v>
      </c>
      <c r="I76" s="1537"/>
      <c r="J76" s="1537"/>
      <c r="K76" s="1555"/>
      <c r="L76" s="1537"/>
    </row>
    <row r="77" spans="1:18">
      <c r="B77" s="349" t="s">
        <v>1413</v>
      </c>
      <c r="C77" s="350"/>
      <c r="I77" s="1537"/>
      <c r="J77" s="1537"/>
      <c r="K77" s="1555"/>
      <c r="L77" s="1537"/>
    </row>
    <row r="78" spans="1:18">
      <c r="B78" s="275" t="s">
        <v>1414</v>
      </c>
      <c r="C78" s="351"/>
    </row>
    <row r="79" spans="1:18">
      <c r="B79" s="345" t="s">
        <v>1415</v>
      </c>
      <c r="C79" s="279" t="e">
        <f ca="1">1-C80</f>
        <v>#DIV/0!</v>
      </c>
    </row>
    <row r="80" spans="1:18">
      <c r="B80" s="345" t="s">
        <v>1416</v>
      </c>
      <c r="C80" s="279" t="e">
        <f ca="1">ROUND(C75/C39,3)</f>
        <v>#DIV/0!</v>
      </c>
    </row>
    <row r="81" spans="2:3">
      <c r="B81" s="275" t="s">
        <v>1417</v>
      </c>
      <c r="C81" s="243"/>
    </row>
    <row r="82" spans="2:3">
      <c r="B82" s="278" t="s">
        <v>1418</v>
      </c>
      <c r="C82" s="280" t="e">
        <f ca="1">1-C83</f>
        <v>#DIV/0!</v>
      </c>
    </row>
    <row r="83" spans="2:3">
      <c r="B83" s="278" t="s">
        <v>1419</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xr:uid="{00000000-0002-0000-1F00-000000000000}">
      <formula1>"比较法,基准地价,收益还原"</formula1>
    </dataValidation>
    <dataValidation type="list" allowBlank="1" showInputMessage="1" showErrorMessage="1" sqref="J56" xr:uid="{00000000-0002-0000-1F00-000001000000}">
      <formula1>判定</formula1>
    </dataValidation>
    <dataValidation type="list" allowBlank="1" showInputMessage="1" showErrorMessage="1" sqref="J48" xr:uid="{00000000-0002-0000-1F00-000002000000}">
      <formula1>"非生产用房,生产用房,受腐蚀的生产用房"</formula1>
    </dataValidation>
    <dataValidation type="list" allowBlank="1" showInputMessage="1" showErrorMessage="1" sqref="J47" xr:uid="{00000000-0002-0000-1F00-000003000000}">
      <formula1>"钢,钢混,砖混"</formula1>
    </dataValidation>
    <dataValidation type="list" allowBlank="1" showInputMessage="1" showErrorMessage="1" sqref="C1" xr:uid="{00000000-0002-0000-1F00-000004000000}">
      <formula1>项目类型</formula1>
    </dataValidation>
    <dataValidation type="list" allowBlank="1" showInputMessage="1" showErrorMessage="1" sqref="D33 D61" xr:uid="{00000000-0002-0000-1F00-000005000000}">
      <formula1>"按租金收入计税,按房产原值计税,按票据"</formula1>
    </dataValidation>
    <dataValidation type="list" allowBlank="1" showInputMessage="1" showErrorMessage="1" sqref="K19" xr:uid="{00000000-0002-0000-1F00-000006000000}">
      <formula1>"按租金收入计税,按房产原值计税"</formula1>
    </dataValidation>
    <dataValidation type="list" allowBlank="1" showInputMessage="1" showErrorMessage="1" sqref="F10 F53 M10"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509" t="s">
        <v>3006</v>
      </c>
      <c r="K2" s="3510"/>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511" t="s">
        <v>3016</v>
      </c>
      <c r="K3" s="3512"/>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511" t="s">
        <v>3018</v>
      </c>
      <c r="K4" s="3512"/>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517" t="s">
        <v>3022</v>
      </c>
      <c r="B6" s="3518"/>
      <c r="C6" s="3519"/>
      <c r="D6" s="3070"/>
      <c r="E6" s="3071"/>
      <c r="F6" s="3072"/>
      <c r="G6" s="3073"/>
      <c r="H6" s="3048"/>
      <c r="I6" s="3049"/>
      <c r="J6" s="3503">
        <v>1</v>
      </c>
      <c r="K6" s="3504"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503"/>
      <c r="K7" s="3505"/>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520" t="s">
        <v>3036</v>
      </c>
      <c r="C8" s="3521"/>
      <c r="D8" s="3089" t="s">
        <v>3037</v>
      </c>
      <c r="E8" s="3090" t="s">
        <v>3038</v>
      </c>
      <c r="F8" s="3091" t="s">
        <v>3039</v>
      </c>
      <c r="G8" s="3092"/>
      <c r="H8" s="3048"/>
      <c r="I8" s="3049"/>
      <c r="J8" s="3503"/>
      <c r="K8" s="3505"/>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520" t="s">
        <v>3042</v>
      </c>
      <c r="C9" s="3521"/>
      <c r="D9" s="3089">
        <f>ROUND(D6*E9,0)</f>
        <v>0</v>
      </c>
      <c r="E9" s="3093"/>
      <c r="F9" s="3094" t="s">
        <v>3043</v>
      </c>
      <c r="G9" s="3073"/>
      <c r="H9" s="3048"/>
      <c r="I9" s="3049"/>
      <c r="J9" s="3503"/>
      <c r="K9" s="3505"/>
      <c r="L9" s="3083" t="s">
        <v>3044</v>
      </c>
      <c r="M9" s="3084"/>
      <c r="N9" s="3060"/>
      <c r="O9" s="3085"/>
      <c r="P9" s="3085"/>
      <c r="Q9" s="3086">
        <v>365</v>
      </c>
      <c r="R9" s="3087">
        <f t="shared" si="0"/>
        <v>0</v>
      </c>
      <c r="S9" s="3041"/>
      <c r="T9" s="3041"/>
      <c r="U9" s="3041"/>
      <c r="V9" s="3049"/>
    </row>
    <row r="10" spans="1:22" s="3053" customFormat="1" ht="13.15" customHeight="1">
      <c r="A10" s="3088">
        <v>2</v>
      </c>
      <c r="B10" s="3520" t="s">
        <v>3045</v>
      </c>
      <c r="C10" s="3521"/>
      <c r="D10" s="3089">
        <f>ROUND(D6*E10,0)</f>
        <v>0</v>
      </c>
      <c r="E10" s="3093"/>
      <c r="F10" s="3094" t="s">
        <v>3046</v>
      </c>
      <c r="G10" s="3073"/>
      <c r="H10" s="3048"/>
      <c r="I10" s="3049"/>
      <c r="J10" s="3503"/>
      <c r="K10" s="3505"/>
      <c r="L10" s="3083" t="s">
        <v>3047</v>
      </c>
      <c r="M10" s="3084"/>
      <c r="N10" s="3060"/>
      <c r="O10" s="3085"/>
      <c r="P10" s="3085"/>
      <c r="Q10" s="3086">
        <v>365</v>
      </c>
      <c r="R10" s="3087">
        <f t="shared" si="0"/>
        <v>0</v>
      </c>
      <c r="S10" s="3041"/>
      <c r="T10" s="3041"/>
      <c r="U10" s="3041"/>
      <c r="V10" s="3049"/>
    </row>
    <row r="11" spans="1:22" s="3053" customFormat="1" ht="13.15" customHeight="1">
      <c r="A11" s="3088">
        <v>3</v>
      </c>
      <c r="B11" s="3520" t="s">
        <v>3048</v>
      </c>
      <c r="C11" s="3521"/>
      <c r="D11" s="3089">
        <f>D12+D14+D15+D16</f>
        <v>0</v>
      </c>
      <c r="E11" s="3095" t="e">
        <f>D11/D6</f>
        <v>#DIV/0!</v>
      </c>
      <c r="F11" s="3091"/>
      <c r="G11" s="3092"/>
      <c r="H11" s="3048"/>
      <c r="I11" s="3049"/>
      <c r="J11" s="3503"/>
      <c r="K11" s="3505"/>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513" t="s">
        <v>3051</v>
      </c>
      <c r="C12" s="3514"/>
      <c r="D12" s="3097">
        <f>ROUND(D13*1.2%*(1-30%),0)</f>
        <v>0</v>
      </c>
      <c r="E12" s="3098">
        <v>1.2E-2</v>
      </c>
      <c r="F12" s="3091" t="s">
        <v>3052</v>
      </c>
      <c r="G12" s="3092"/>
      <c r="H12" s="3048"/>
      <c r="I12" s="3049"/>
      <c r="J12" s="3503"/>
      <c r="K12" s="3505"/>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503"/>
      <c r="K13" s="3505"/>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513" t="s">
        <v>3057</v>
      </c>
      <c r="C14" s="3514"/>
      <c r="D14" s="3097">
        <f>ROUND(E14*B5/10000,0)</f>
        <v>0</v>
      </c>
      <c r="E14" s="3086"/>
      <c r="F14" s="3091" t="s">
        <v>3058</v>
      </c>
      <c r="G14" s="3092"/>
      <c r="H14" s="3048"/>
      <c r="I14" s="3049"/>
      <c r="J14" s="3503"/>
      <c r="K14" s="3506"/>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513" t="s">
        <v>3061</v>
      </c>
      <c r="C15" s="3514"/>
      <c r="D15" s="3097">
        <f>ROUND(D6*E15,0)</f>
        <v>0</v>
      </c>
      <c r="E15" s="3098">
        <v>5.5E-2</v>
      </c>
      <c r="F15" s="3091" t="s">
        <v>3062</v>
      </c>
      <c r="G15" s="3073"/>
      <c r="H15" s="3048"/>
      <c r="I15" s="3049"/>
      <c r="J15" s="3503">
        <v>2</v>
      </c>
      <c r="K15" s="3504"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513" t="s">
        <v>3070</v>
      </c>
      <c r="C16" s="3514"/>
      <c r="D16" s="3108">
        <f>D6*E16</f>
        <v>0</v>
      </c>
      <c r="E16" s="3109"/>
      <c r="F16" s="3094" t="s">
        <v>3071</v>
      </c>
      <c r="G16" s="3073"/>
      <c r="H16" s="3048"/>
      <c r="I16" s="3049"/>
      <c r="J16" s="3503"/>
      <c r="K16" s="3505"/>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515" t="s">
        <v>3073</v>
      </c>
      <c r="C17" s="3516"/>
      <c r="D17" s="3111">
        <f>ROUND(D6*E17,0)</f>
        <v>0</v>
      </c>
      <c r="E17" s="3112"/>
      <c r="F17" s="3113" t="s">
        <v>3074</v>
      </c>
      <c r="G17" s="3073"/>
      <c r="H17" s="3048"/>
      <c r="I17" s="3049"/>
      <c r="J17" s="3503"/>
      <c r="K17" s="3505"/>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503"/>
      <c r="K18" s="3505"/>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503"/>
      <c r="K19" s="3506"/>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503">
        <v>3</v>
      </c>
      <c r="K20" s="3504"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503"/>
      <c r="K21" s="3505"/>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503"/>
      <c r="K22" s="3505"/>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503"/>
      <c r="K23" s="3505"/>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503"/>
      <c r="K24" s="3506"/>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507">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50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509" t="s">
        <v>3006</v>
      </c>
      <c r="K32" s="3510"/>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511" t="s">
        <v>3016</v>
      </c>
      <c r="K33" s="3512"/>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511" t="s">
        <v>3018</v>
      </c>
      <c r="K34" s="3512"/>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503">
        <v>1</v>
      </c>
      <c r="K36" s="3504"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503"/>
      <c r="K37" s="3505"/>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503"/>
      <c r="K38" s="3505"/>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503"/>
      <c r="K39" s="3505"/>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503"/>
      <c r="K40" s="3506"/>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507">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50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0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000-000001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6916</v>
      </c>
      <c r="C2" s="2027" t="s">
        <v>2280</v>
      </c>
      <c r="D2" s="2028" t="s">
        <v>2281</v>
      </c>
      <c r="E2" s="2802">
        <f>SUM(E6:E13)</f>
        <v>20815.18</v>
      </c>
      <c r="F2" s="2905"/>
      <c r="G2" s="1643"/>
      <c r="H2" s="1643"/>
      <c r="I2" s="1643"/>
      <c r="J2" s="1643"/>
      <c r="K2" s="1643"/>
      <c r="L2" s="1643"/>
      <c r="M2" s="1643"/>
      <c r="N2" s="1643"/>
      <c r="O2" s="1643"/>
      <c r="P2" s="1643"/>
      <c r="Q2" s="1643"/>
      <c r="R2" s="1643"/>
      <c r="S2" s="1643"/>
    </row>
    <row r="3" spans="1:22" ht="15.75">
      <c r="A3" s="2025" t="s">
        <v>1300</v>
      </c>
      <c r="B3" s="2796">
        <f ca="1">ROUND(B2*10000/E2,0)</f>
        <v>3323</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522" t="s">
        <v>2283</v>
      </c>
      <c r="C5" s="3523"/>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收益法-车位</v>
      </c>
      <c r="B6" s="2797">
        <f ca="1">IF(F6="是",'数据-取费表'!AO6,0)</f>
        <v>1482</v>
      </c>
      <c r="C6" s="2027" t="s">
        <v>2280</v>
      </c>
      <c r="D6" s="2907"/>
      <c r="E6" s="2801">
        <f>IF(OR(A6=0,F6="否"),0,'数据-取费表'!K6+'数据-取费表'!S6)</f>
        <v>11780.21</v>
      </c>
      <c r="F6" s="2031" t="s">
        <v>2286</v>
      </c>
      <c r="G6" s="1643"/>
      <c r="H6" s="1643"/>
      <c r="I6" s="1643"/>
      <c r="J6" s="1643"/>
      <c r="K6" s="1643"/>
      <c r="L6" s="1643"/>
      <c r="M6" s="1643"/>
      <c r="N6" s="1643"/>
      <c r="O6" s="1643"/>
      <c r="P6" s="1643"/>
      <c r="Q6" s="1643"/>
      <c r="R6" s="1643"/>
      <c r="S6" s="1643"/>
    </row>
    <row r="7" spans="1:22">
      <c r="A7" s="2799" t="str">
        <f>'数据-取费表'!AN7</f>
        <v>收益法-仓储</v>
      </c>
      <c r="B7" s="2797">
        <f ca="1">IF(F7="是",'数据-取费表'!AO7,0)</f>
        <v>5434</v>
      </c>
      <c r="C7" s="2027" t="s">
        <v>2280</v>
      </c>
      <c r="D7" s="2907"/>
      <c r="E7" s="2801">
        <f>IF(OR(A7=0,F7="否"),0,'数据-取费表'!K7+'数据-取费表'!S7)</f>
        <v>9034.9699999999993</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2100-000000000000}">
      <formula1>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2294</v>
      </c>
      <c r="F2" s="2038"/>
      <c r="G2" s="1037"/>
      <c r="H2" s="1037"/>
      <c r="I2" s="1037"/>
      <c r="J2" s="1037"/>
      <c r="K2" s="2039"/>
      <c r="L2" s="2911"/>
      <c r="M2" s="2912"/>
      <c r="N2" s="2912"/>
      <c r="O2" s="2912"/>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2295</v>
      </c>
      <c r="D3" s="358">
        <f>IF(D1="",'数据-汇总表'!E3,SUMIF('数据-汇总表'!$C19:$C33,D1,'数据-汇总表'!$E19:$E33))</f>
        <v>20815.18</v>
      </c>
      <c r="E3" s="1037"/>
      <c r="F3" s="2043"/>
      <c r="G3" s="1037"/>
      <c r="H3" s="1037"/>
      <c r="I3" s="1037"/>
      <c r="J3" s="1037"/>
      <c r="K3" s="2039"/>
      <c r="L3" s="2911"/>
      <c r="M3" s="2912"/>
      <c r="N3" s="2912"/>
      <c r="O3" s="2912"/>
      <c r="P3" s="2040"/>
      <c r="Q3" s="2041"/>
      <c r="R3" s="2041"/>
      <c r="S3" s="2041"/>
      <c r="T3" s="2041"/>
      <c r="U3" s="2041"/>
      <c r="V3" s="2041"/>
      <c r="W3" s="2041"/>
      <c r="X3" s="2041"/>
      <c r="Y3" s="2041"/>
      <c r="Z3" s="2041"/>
      <c r="AA3" s="2041"/>
      <c r="AB3" s="2041"/>
      <c r="AC3" s="1191"/>
    </row>
    <row r="4" spans="1:29" ht="15">
      <c r="A4" s="360" t="s">
        <v>2296</v>
      </c>
      <c r="B4" s="361"/>
      <c r="C4" s="3368" t="s">
        <v>2297</v>
      </c>
      <c r="D4" s="3369"/>
      <c r="E4" s="3370" t="s">
        <v>2298</v>
      </c>
      <c r="F4" s="3371"/>
      <c r="G4" s="3368" t="s">
        <v>2299</v>
      </c>
      <c r="H4" s="3369"/>
      <c r="I4" s="3368" t="s">
        <v>2300</v>
      </c>
      <c r="J4" s="3369"/>
      <c r="K4" s="2044" t="s">
        <v>2301</v>
      </c>
      <c r="L4" s="2913"/>
      <c r="M4" s="2914"/>
      <c r="N4" s="2914"/>
      <c r="O4" s="2914"/>
      <c r="P4" s="3372" t="s">
        <v>2302</v>
      </c>
      <c r="Q4" s="3373"/>
      <c r="R4" s="3378" t="s">
        <v>2298</v>
      </c>
      <c r="S4" s="3379"/>
      <c r="T4" s="3378" t="s">
        <v>2299</v>
      </c>
      <c r="U4" s="3379"/>
      <c r="V4" s="3384" t="s">
        <v>2300</v>
      </c>
      <c r="W4" s="3384"/>
      <c r="X4" s="1508"/>
      <c r="Y4" s="3378" t="s">
        <v>2302</v>
      </c>
      <c r="Z4" s="3379"/>
      <c r="AA4" s="3365" t="s">
        <v>2298</v>
      </c>
      <c r="AB4" s="3365" t="s">
        <v>2299</v>
      </c>
      <c r="AC4" s="3365" t="s">
        <v>2300</v>
      </c>
    </row>
    <row r="5" spans="1:29" ht="15">
      <c r="A5" s="363"/>
      <c r="B5" s="364"/>
      <c r="C5" s="3498" t="s">
        <v>2303</v>
      </c>
      <c r="D5" s="3388"/>
      <c r="E5" s="3499" t="s">
        <v>2304</v>
      </c>
      <c r="F5" s="3396"/>
      <c r="G5" s="3498" t="s">
        <v>2305</v>
      </c>
      <c r="H5" s="3388"/>
      <c r="I5" s="3498" t="s">
        <v>2306</v>
      </c>
      <c r="J5" s="3388"/>
      <c r="K5" s="2045"/>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2045"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2046"/>
      <c r="L7" s="2915"/>
      <c r="M7" s="2916"/>
      <c r="N7" s="2916"/>
      <c r="O7" s="2916"/>
      <c r="P7" s="3389" t="s">
        <v>2310</v>
      </c>
      <c r="Q7" s="3391"/>
      <c r="R7" s="709" t="s">
        <v>23</v>
      </c>
      <c r="S7" s="710">
        <f t="shared" ref="S7:S15" si="0">F7</f>
        <v>0</v>
      </c>
      <c r="T7" s="709" t="s">
        <v>23</v>
      </c>
      <c r="U7" s="710">
        <f t="shared" ref="U7:U15" si="1">H7</f>
        <v>0</v>
      </c>
      <c r="V7" s="709" t="s">
        <v>23</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2047"/>
      <c r="F8" s="372">
        <f>SUMIF(61:61,E8,62:62)-SUMIF(61:61,C8,62:62)+100</f>
        <v>0</v>
      </c>
      <c r="G8" s="373"/>
      <c r="H8" s="370">
        <f>SUMIF(61:61,G8,62:62)-SUMIF(61:61,C8,62:62)+100</f>
        <v>0</v>
      </c>
      <c r="I8" s="2047"/>
      <c r="J8" s="370">
        <f>SUMIF(61:61,I8,62:62)-SUMIF(61:61,C8,62:62)+100</f>
        <v>0</v>
      </c>
      <c r="K8" s="2046"/>
      <c r="L8" s="2915"/>
      <c r="M8" s="2916"/>
      <c r="N8" s="2916"/>
      <c r="O8" s="2916"/>
      <c r="P8" s="3389" t="s">
        <v>2313</v>
      </c>
      <c r="Q8" s="3390"/>
      <c r="R8" s="709" t="s">
        <v>23</v>
      </c>
      <c r="S8" s="710">
        <f t="shared" si="0"/>
        <v>0</v>
      </c>
      <c r="T8" s="709" t="s">
        <v>23</v>
      </c>
      <c r="U8" s="710">
        <f t="shared" si="1"/>
        <v>0</v>
      </c>
      <c r="V8" s="709" t="s">
        <v>23</v>
      </c>
      <c r="W8" s="710">
        <f t="shared" si="2"/>
        <v>0</v>
      </c>
      <c r="X8" s="711"/>
      <c r="Y8" s="3389" t="s">
        <v>2313</v>
      </c>
      <c r="Z8" s="3390"/>
      <c r="AA8" s="712" t="e">
        <f t="shared" ref="AA8:AA19" si="3">D8/F8</f>
        <v>#DIV/0!</v>
      </c>
      <c r="AB8" s="712" t="e">
        <f t="shared" ref="AB8:AB19" si="4">D8/H8</f>
        <v>#DIV/0!</v>
      </c>
      <c r="AC8" s="712" t="e">
        <f t="shared" ref="AC8:AC19" si="5">D8/J8</f>
        <v>#DIV/0!</v>
      </c>
    </row>
    <row r="9" spans="1:29" s="113" customFormat="1">
      <c r="A9" s="374" t="s">
        <v>2314</v>
      </c>
      <c r="B9" s="67" t="s">
        <v>2315</v>
      </c>
      <c r="C9" s="375"/>
      <c r="D9" s="131">
        <v>100</v>
      </c>
      <c r="E9" s="376"/>
      <c r="F9" s="377">
        <f>SUMIF(63:63,E9,64:64)-SUMIF(63:63,C9,64:64)+100</f>
        <v>100</v>
      </c>
      <c r="G9" s="378"/>
      <c r="H9" s="131">
        <f>SUMIF(63:63,G9,64:64)-SUMIF(63:63,C9,64:64)+100</f>
        <v>100</v>
      </c>
      <c r="I9" s="378"/>
      <c r="J9" s="131">
        <f>SUMIF(63:63,I9,64:64)-SUMIF(63:63,C9,64:64)+100</f>
        <v>100</v>
      </c>
      <c r="K9" s="2046"/>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384"/>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384"/>
      <c r="L11" s="2919"/>
      <c r="M11" s="2914"/>
      <c r="N11" s="2914"/>
      <c r="O11" s="2914"/>
      <c r="P11" s="3531"/>
      <c r="Q11" s="1496" t="str">
        <f t="shared" si="6"/>
        <v>容积率</v>
      </c>
      <c r="R11" s="709" t="s">
        <v>21</v>
      </c>
      <c r="S11" s="710" t="e">
        <f t="shared" si="0"/>
        <v>#N/A</v>
      </c>
      <c r="T11" s="709" t="s">
        <v>21</v>
      </c>
      <c r="U11" s="710" t="e">
        <f t="shared" si="1"/>
        <v>#N/A</v>
      </c>
      <c r="V11" s="709" t="s">
        <v>21</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0"/>
      <c r="F12" s="383">
        <f>SUMIF(70:70,E12,71:71)-SUMIF(70:70,C12,71:71)+100</f>
        <v>100</v>
      </c>
      <c r="G12" s="390"/>
      <c r="H12" s="132">
        <f>SUMIF(70:70,G12,71:71)-SUMIF(70:70,C12,71:71)+100</f>
        <v>100</v>
      </c>
      <c r="I12" s="390"/>
      <c r="J12" s="132">
        <f>SUMIF(70:70,I12,71:71)-SUMIF(70:70,C12,71:71)+100</f>
        <v>100</v>
      </c>
      <c r="K12" s="2049"/>
      <c r="L12" s="2915"/>
      <c r="M12" s="2916"/>
      <c r="N12" s="2916"/>
      <c r="O12" s="2916"/>
      <c r="P12" s="3531"/>
      <c r="Q12" s="1496">
        <f t="shared" si="6"/>
        <v>111</v>
      </c>
      <c r="R12" s="709" t="s">
        <v>21</v>
      </c>
      <c r="S12" s="710">
        <f t="shared" si="0"/>
        <v>100</v>
      </c>
      <c r="T12" s="709" t="s">
        <v>21</v>
      </c>
      <c r="U12" s="710">
        <f t="shared" si="1"/>
        <v>100</v>
      </c>
      <c r="V12" s="709" t="s">
        <v>21</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20"/>
      <c r="M13" s="2914"/>
      <c r="N13" s="2914"/>
      <c r="O13" s="2914"/>
      <c r="P13" s="3531"/>
      <c r="Q13" s="1496">
        <f t="shared" si="6"/>
        <v>111</v>
      </c>
      <c r="R13" s="709" t="s">
        <v>21</v>
      </c>
      <c r="S13" s="710">
        <f t="shared" si="0"/>
        <v>100</v>
      </c>
      <c r="T13" s="709" t="s">
        <v>21</v>
      </c>
      <c r="U13" s="710">
        <f t="shared" si="1"/>
        <v>100</v>
      </c>
      <c r="V13" s="709" t="s">
        <v>21</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20"/>
      <c r="M14" s="2914"/>
      <c r="N14" s="2914"/>
      <c r="O14" s="2914"/>
      <c r="P14" s="3531"/>
      <c r="Q14" s="1496">
        <f t="shared" si="6"/>
        <v>111</v>
      </c>
      <c r="R14" s="709" t="s">
        <v>21</v>
      </c>
      <c r="S14" s="710">
        <f t="shared" si="0"/>
        <v>100</v>
      </c>
      <c r="T14" s="709" t="s">
        <v>21</v>
      </c>
      <c r="U14" s="710">
        <f t="shared" si="1"/>
        <v>100</v>
      </c>
      <c r="V14" s="709" t="s">
        <v>21</v>
      </c>
      <c r="W14" s="710">
        <f t="shared" si="2"/>
        <v>100</v>
      </c>
      <c r="X14" s="711"/>
      <c r="Y14" s="3364"/>
      <c r="Z14" s="55">
        <f t="shared" si="7"/>
        <v>111</v>
      </c>
      <c r="AA14" s="712">
        <f t="shared" si="3"/>
        <v>1</v>
      </c>
      <c r="AB14" s="712">
        <f t="shared" si="4"/>
        <v>1</v>
      </c>
      <c r="AC14" s="712">
        <f t="shared" si="5"/>
        <v>1</v>
      </c>
    </row>
    <row r="15" spans="1:29" ht="99.75">
      <c r="A15" s="398" t="s">
        <v>2320</v>
      </c>
      <c r="B15" s="65" t="s">
        <v>1883</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20"/>
      <c r="M15" s="2914"/>
      <c r="N15" s="2914"/>
      <c r="O15" s="2914"/>
      <c r="P15" s="3529" t="s">
        <v>2321</v>
      </c>
      <c r="Q15" s="1505" t="str">
        <f t="shared" si="6"/>
        <v>居住社区成熟度</v>
      </c>
      <c r="R15" s="713" t="s">
        <v>21</v>
      </c>
      <c r="S15" s="714">
        <f t="shared" si="0"/>
        <v>100</v>
      </c>
      <c r="T15" s="713" t="s">
        <v>21</v>
      </c>
      <c r="U15" s="714">
        <f t="shared" si="1"/>
        <v>100</v>
      </c>
      <c r="V15" s="713" t="s">
        <v>21</v>
      </c>
      <c r="W15" s="714">
        <f t="shared" si="2"/>
        <v>100</v>
      </c>
      <c r="X15" s="1508"/>
      <c r="Y15" s="3360" t="s">
        <v>2321</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20"/>
      <c r="M16" s="2914"/>
      <c r="N16" s="2914"/>
      <c r="O16" s="2914"/>
      <c r="P16" s="3530"/>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20"/>
      <c r="M17" s="2914"/>
      <c r="N17" s="2914"/>
      <c r="O17" s="2914"/>
      <c r="P17" s="3530"/>
      <c r="Q17" s="1505" t="str">
        <f>B17</f>
        <v>交通便捷度</v>
      </c>
      <c r="R17" s="713" t="s">
        <v>21</v>
      </c>
      <c r="S17" s="714">
        <f>F17</f>
        <v>100</v>
      </c>
      <c r="T17" s="713" t="s">
        <v>21</v>
      </c>
      <c r="U17" s="714">
        <f>H17</f>
        <v>100</v>
      </c>
      <c r="V17" s="713" t="s">
        <v>21</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20"/>
      <c r="M18" s="2914"/>
      <c r="N18" s="2914"/>
      <c r="O18" s="2914"/>
      <c r="P18" s="3530"/>
      <c r="Q18" s="1505"/>
      <c r="R18" s="713"/>
      <c r="S18" s="714"/>
      <c r="T18" s="713"/>
      <c r="U18" s="714"/>
      <c r="V18" s="713"/>
      <c r="W18" s="714"/>
      <c r="X18" s="1508"/>
      <c r="Y18" s="3361"/>
      <c r="Z18" s="1509"/>
      <c r="AA18" s="1506">
        <v>1</v>
      </c>
      <c r="AB18" s="1506">
        <v>1</v>
      </c>
      <c r="AC18" s="1506">
        <v>1</v>
      </c>
    </row>
    <row r="19" spans="1:29" ht="42.75">
      <c r="A19" s="386"/>
      <c r="B19" s="409" t="s">
        <v>1884</v>
      </c>
      <c r="C19" s="2055"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20"/>
      <c r="M19" s="2914"/>
      <c r="N19" s="2914"/>
      <c r="O19" s="2914"/>
      <c r="P19" s="3530"/>
      <c r="Q19" s="1505" t="str">
        <f>B19</f>
        <v>公共配套设施</v>
      </c>
      <c r="R19" s="713" t="s">
        <v>21</v>
      </c>
      <c r="S19" s="714">
        <f>F19</f>
        <v>100</v>
      </c>
      <c r="T19" s="713" t="s">
        <v>21</v>
      </c>
      <c r="U19" s="714">
        <f>H19</f>
        <v>100</v>
      </c>
      <c r="V19" s="713" t="s">
        <v>21</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20"/>
      <c r="M20" s="2914"/>
      <c r="N20" s="2914"/>
      <c r="O20" s="2914"/>
      <c r="P20" s="3530"/>
      <c r="Q20" s="1505"/>
      <c r="R20" s="713"/>
      <c r="S20" s="714"/>
      <c r="T20" s="713"/>
      <c r="U20" s="714"/>
      <c r="V20" s="713"/>
      <c r="W20" s="714"/>
      <c r="X20" s="1508"/>
      <c r="Y20" s="3361"/>
      <c r="Z20" s="1509"/>
      <c r="AA20" s="1506">
        <v>1</v>
      </c>
      <c r="AB20" s="1506">
        <v>1</v>
      </c>
      <c r="AC20" s="1506">
        <v>1</v>
      </c>
    </row>
    <row r="21" spans="1:29" ht="28.5">
      <c r="A21" s="386"/>
      <c r="B21" s="1264" t="s">
        <v>1886</v>
      </c>
      <c r="C21" s="2055"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20"/>
      <c r="M22" s="2914"/>
      <c r="N22" s="2914"/>
      <c r="O22" s="2914"/>
      <c r="P22" s="3530"/>
      <c r="Q22" s="1505"/>
      <c r="R22" s="713"/>
      <c r="S22" s="714"/>
      <c r="T22" s="713"/>
      <c r="U22" s="714"/>
      <c r="V22" s="713"/>
      <c r="W22" s="714"/>
      <c r="X22" s="1508"/>
      <c r="Y22" s="3361"/>
      <c r="Z22" s="1509"/>
      <c r="AA22" s="1506">
        <v>1</v>
      </c>
      <c r="AB22" s="1506">
        <v>1</v>
      </c>
      <c r="AC22" s="1506">
        <v>1</v>
      </c>
    </row>
    <row r="23" spans="1:29" ht="57">
      <c r="A23" s="386"/>
      <c r="B23" s="409" t="s">
        <v>1887</v>
      </c>
      <c r="C23" s="2055"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20"/>
      <c r="M23" s="2914"/>
      <c r="N23" s="2914"/>
      <c r="O23" s="2914"/>
      <c r="P23" s="3530"/>
      <c r="Q23" s="1505" t="str">
        <f>B23</f>
        <v>自然及人文环境</v>
      </c>
      <c r="R23" s="713" t="s">
        <v>21</v>
      </c>
      <c r="S23" s="714">
        <f>F23</f>
        <v>100</v>
      </c>
      <c r="T23" s="713" t="s">
        <v>21</v>
      </c>
      <c r="U23" s="714">
        <f>H23</f>
        <v>100</v>
      </c>
      <c r="V23" s="713" t="s">
        <v>21</v>
      </c>
      <c r="W23" s="714">
        <f>J23</f>
        <v>100</v>
      </c>
      <c r="X23" s="1508"/>
      <c r="Y23" s="3361"/>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20"/>
      <c r="M24" s="2914"/>
      <c r="N24" s="2914"/>
      <c r="O24" s="2914"/>
      <c r="P24" s="3530"/>
      <c r="Q24" s="1505"/>
      <c r="R24" s="713"/>
      <c r="S24" s="714"/>
      <c r="T24" s="713"/>
      <c r="U24" s="714"/>
      <c r="V24" s="713"/>
      <c r="W24" s="714"/>
      <c r="X24" s="1508"/>
      <c r="Y24" s="3361"/>
      <c r="Z24" s="1509"/>
      <c r="AA24" s="1506">
        <v>1</v>
      </c>
      <c r="AB24" s="1506">
        <v>1</v>
      </c>
      <c r="AC24" s="1506">
        <v>1</v>
      </c>
    </row>
    <row r="25" spans="1:29" ht="15">
      <c r="A25" s="386"/>
      <c r="B25" s="380" t="s">
        <v>2322</v>
      </c>
      <c r="C25" s="418"/>
      <c r="D25" s="393">
        <v>100</v>
      </c>
      <c r="E25" s="2061"/>
      <c r="F25" s="393">
        <f>SUMIF(86:86,E25,87:87)-SUMIF(86:86,C25,87:87)+100</f>
        <v>100</v>
      </c>
      <c r="G25" s="2062"/>
      <c r="H25" s="393">
        <f>SUMIF(86:86,G25,87:87)-SUMIF(86:86,C25,87:87)+100</f>
        <v>100</v>
      </c>
      <c r="I25" s="2062"/>
      <c r="J25" s="393">
        <f>SUMIF(86:86,I25,87:87)-SUMIF(86:86,C25,87:87)+100</f>
        <v>100</v>
      </c>
      <c r="K25" s="384"/>
      <c r="L25" s="2920"/>
      <c r="M25" s="2914"/>
      <c r="N25" s="2914"/>
      <c r="O25" s="2914"/>
      <c r="P25" s="3530"/>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361"/>
      <c r="Z25" s="1509" t="str">
        <f>Q25</f>
        <v>楼层-1</v>
      </c>
      <c r="AA25" s="1506">
        <f t="shared" ref="AA25:AA46" si="15">D25/F25</f>
        <v>1</v>
      </c>
      <c r="AB25" s="1506">
        <f t="shared" ref="AB25:AB46" si="16">D25/H25</f>
        <v>1</v>
      </c>
      <c r="AC25" s="1506">
        <f t="shared" ref="AC25:AC46" si="17">D25/J25</f>
        <v>1</v>
      </c>
    </row>
    <row r="26" spans="1:29" ht="15">
      <c r="A26" s="386"/>
      <c r="B26" s="380" t="s">
        <v>2323</v>
      </c>
      <c r="C26" s="418"/>
      <c r="D26" s="393">
        <v>100</v>
      </c>
      <c r="E26" s="2061"/>
      <c r="F26" s="393">
        <f>SUMIF(88:88,E26,89:89)-SUMIF(88:88,C26,89:89)+100</f>
        <v>100</v>
      </c>
      <c r="G26" s="2062"/>
      <c r="H26" s="393">
        <f>SUMIF(88:88,G26,89:89)-SUMIF(88:88,C26,89:89)+100</f>
        <v>100</v>
      </c>
      <c r="I26" s="2062"/>
      <c r="J26" s="393">
        <f>SUMIF(88:88,I26,89:89)-SUMIF(88:88,C26,89:89)+100</f>
        <v>100</v>
      </c>
      <c r="K26" s="384"/>
      <c r="L26" s="2920"/>
      <c r="M26" s="2914"/>
      <c r="N26" s="2914"/>
      <c r="O26" s="2914"/>
      <c r="P26" s="3530"/>
      <c r="Q26" s="1505" t="str">
        <f t="shared" si="11"/>
        <v>朝向</v>
      </c>
      <c r="R26" s="713" t="s">
        <v>21</v>
      </c>
      <c r="S26" s="714">
        <f t="shared" si="12"/>
        <v>100</v>
      </c>
      <c r="T26" s="713" t="s">
        <v>21</v>
      </c>
      <c r="U26" s="714">
        <f t="shared" si="13"/>
        <v>100</v>
      </c>
      <c r="V26" s="713" t="s">
        <v>21</v>
      </c>
      <c r="W26" s="714">
        <f t="shared" si="14"/>
        <v>100</v>
      </c>
      <c r="X26" s="1508"/>
      <c r="Y26" s="3361"/>
      <c r="Z26" s="1509" t="str">
        <f>Q26</f>
        <v>朝向</v>
      </c>
      <c r="AA26" s="1506">
        <f t="shared" si="15"/>
        <v>1</v>
      </c>
      <c r="AB26" s="1506">
        <f t="shared" si="16"/>
        <v>1</v>
      </c>
      <c r="AC26" s="1506">
        <f t="shared" si="17"/>
        <v>1</v>
      </c>
    </row>
    <row r="27" spans="1:29" s="113"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15"/>
      <c r="M27" s="2916"/>
      <c r="N27" s="2916"/>
      <c r="O27" s="2916"/>
      <c r="P27" s="3530"/>
      <c r="Q27" s="1496">
        <f t="shared" si="11"/>
        <v>111</v>
      </c>
      <c r="R27" s="709" t="s">
        <v>21</v>
      </c>
      <c r="S27" s="710">
        <f t="shared" si="12"/>
        <v>100</v>
      </c>
      <c r="T27" s="709" t="s">
        <v>21</v>
      </c>
      <c r="U27" s="710">
        <f t="shared" si="13"/>
        <v>100</v>
      </c>
      <c r="V27" s="709" t="s">
        <v>21</v>
      </c>
      <c r="W27" s="710">
        <f t="shared" si="14"/>
        <v>100</v>
      </c>
      <c r="X27" s="711"/>
      <c r="Y27" s="3361"/>
      <c r="Z27" s="55">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20"/>
      <c r="M28" s="2914"/>
      <c r="N28" s="2914"/>
      <c r="O28" s="2914"/>
      <c r="P28" s="3530"/>
      <c r="Q28" s="1505">
        <f t="shared" si="11"/>
        <v>111</v>
      </c>
      <c r="R28" s="713" t="s">
        <v>21</v>
      </c>
      <c r="S28" s="714">
        <f t="shared" si="12"/>
        <v>100</v>
      </c>
      <c r="T28" s="713" t="s">
        <v>21</v>
      </c>
      <c r="U28" s="714">
        <f t="shared" si="13"/>
        <v>100</v>
      </c>
      <c r="V28" s="713" t="s">
        <v>21</v>
      </c>
      <c r="W28" s="714">
        <f t="shared" si="14"/>
        <v>100</v>
      </c>
      <c r="X28" s="1508"/>
      <c r="Y28" s="3361"/>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20"/>
      <c r="M29" s="2914"/>
      <c r="N29" s="2914"/>
      <c r="O29" s="2914"/>
      <c r="P29" s="3530"/>
      <c r="Q29" s="1505">
        <f t="shared" si="11"/>
        <v>111</v>
      </c>
      <c r="R29" s="713" t="s">
        <v>21</v>
      </c>
      <c r="S29" s="714">
        <f t="shared" si="12"/>
        <v>100</v>
      </c>
      <c r="T29" s="713" t="s">
        <v>21</v>
      </c>
      <c r="U29" s="714">
        <f t="shared" si="13"/>
        <v>100</v>
      </c>
      <c r="V29" s="713" t="s">
        <v>21</v>
      </c>
      <c r="W29" s="714">
        <f t="shared" si="14"/>
        <v>100</v>
      </c>
      <c r="X29" s="1508"/>
      <c r="Y29" s="3361"/>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20"/>
      <c r="M30" s="2914"/>
      <c r="N30" s="2914"/>
      <c r="O30" s="2914"/>
      <c r="P30" s="3530"/>
      <c r="Q30" s="1505">
        <f t="shared" si="11"/>
        <v>111</v>
      </c>
      <c r="R30" s="713" t="s">
        <v>21</v>
      </c>
      <c r="S30" s="714">
        <f t="shared" si="12"/>
        <v>100</v>
      </c>
      <c r="T30" s="713" t="s">
        <v>21</v>
      </c>
      <c r="U30" s="714">
        <f t="shared" si="13"/>
        <v>100</v>
      </c>
      <c r="V30" s="713" t="s">
        <v>21</v>
      </c>
      <c r="W30" s="714">
        <f t="shared" si="14"/>
        <v>100</v>
      </c>
      <c r="X30" s="1508"/>
      <c r="Y30" s="3361"/>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20"/>
      <c r="M31" s="2914"/>
      <c r="N31" s="2914"/>
      <c r="O31" s="2914"/>
      <c r="P31" s="3530"/>
      <c r="Q31" s="1505">
        <f t="shared" si="11"/>
        <v>111</v>
      </c>
      <c r="R31" s="713" t="s">
        <v>21</v>
      </c>
      <c r="S31" s="714">
        <f t="shared" si="12"/>
        <v>100</v>
      </c>
      <c r="T31" s="713" t="s">
        <v>21</v>
      </c>
      <c r="U31" s="714">
        <f t="shared" si="13"/>
        <v>100</v>
      </c>
      <c r="V31" s="713" t="s">
        <v>21</v>
      </c>
      <c r="W31" s="714">
        <f t="shared" si="14"/>
        <v>100</v>
      </c>
      <c r="X31" s="1508"/>
      <c r="Y31" s="3361"/>
      <c r="Z31" s="1509">
        <f t="shared" si="18"/>
        <v>111</v>
      </c>
      <c r="AA31" s="1506">
        <f t="shared" si="15"/>
        <v>1</v>
      </c>
      <c r="AB31" s="1506">
        <f t="shared" si="16"/>
        <v>1</v>
      </c>
      <c r="AC31" s="1506">
        <f t="shared" si="17"/>
        <v>1</v>
      </c>
    </row>
    <row r="32" spans="1:29" ht="15">
      <c r="A32" s="398" t="s">
        <v>2324</v>
      </c>
      <c r="B32" s="67" t="s">
        <v>2325</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20"/>
      <c r="M32" s="2914"/>
      <c r="N32" s="2914"/>
      <c r="O32" s="2914"/>
      <c r="P32" s="3525" t="s">
        <v>2326</v>
      </c>
      <c r="Q32" s="1505" t="str">
        <f t="shared" si="11"/>
        <v>建筑类型</v>
      </c>
      <c r="R32" s="713" t="s">
        <v>21</v>
      </c>
      <c r="S32" s="714">
        <f t="shared" si="12"/>
        <v>100</v>
      </c>
      <c r="T32" s="713" t="s">
        <v>21</v>
      </c>
      <c r="U32" s="714">
        <f t="shared" si="13"/>
        <v>100</v>
      </c>
      <c r="V32" s="713" t="s">
        <v>21</v>
      </c>
      <c r="W32" s="714">
        <f t="shared" si="14"/>
        <v>100</v>
      </c>
      <c r="X32" s="1508"/>
      <c r="Y32" s="3363" t="s">
        <v>2326</v>
      </c>
      <c r="Z32" s="1509" t="str">
        <f t="shared" si="18"/>
        <v>建筑类型</v>
      </c>
      <c r="AA32" s="1506">
        <f t="shared" si="15"/>
        <v>1</v>
      </c>
      <c r="AB32" s="1506">
        <f t="shared" si="16"/>
        <v>1</v>
      </c>
      <c r="AC32" s="1506">
        <f t="shared" si="17"/>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8"/>
      <c r="J33" s="132" t="e">
        <f>LOOKUP(I33,103:103,104:104)-LOOKUP(C33,103:103,104:104)+100</f>
        <v>#N/A</v>
      </c>
      <c r="K33" s="2049"/>
      <c r="L33" s="2919"/>
      <c r="M33" s="2921"/>
      <c r="N33" s="2921"/>
      <c r="O33" s="2921"/>
      <c r="P33" s="3526"/>
      <c r="Q33" s="715" t="str">
        <f t="shared" si="11"/>
        <v>项目建筑规模</v>
      </c>
      <c r="R33" s="716" t="s">
        <v>21</v>
      </c>
      <c r="S33" s="717" t="e">
        <f t="shared" si="12"/>
        <v>#N/A</v>
      </c>
      <c r="T33" s="716" t="s">
        <v>21</v>
      </c>
      <c r="U33" s="717" t="e">
        <f t="shared" si="13"/>
        <v>#N/A</v>
      </c>
      <c r="V33" s="716" t="s">
        <v>21</v>
      </c>
      <c r="W33" s="717" t="e">
        <f t="shared" si="14"/>
        <v>#N/A</v>
      </c>
      <c r="X33" s="718"/>
      <c r="Y33" s="3363"/>
      <c r="Z33" s="719" t="str">
        <f t="shared" si="18"/>
        <v>项目建筑规模</v>
      </c>
      <c r="AA33" s="1506" t="e">
        <f t="shared" si="15"/>
        <v>#N/A</v>
      </c>
      <c r="AB33" s="1506" t="e">
        <f t="shared" si="16"/>
        <v>#N/A</v>
      </c>
      <c r="AC33" s="1506" t="e">
        <f t="shared" si="17"/>
        <v>#N/A</v>
      </c>
    </row>
    <row r="34" spans="1:29" ht="15">
      <c r="A34" s="430"/>
      <c r="B34" s="380" t="s">
        <v>2328</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20"/>
      <c r="M34" s="2914"/>
      <c r="N34" s="2914"/>
      <c r="O34" s="2914"/>
      <c r="P34" s="3526"/>
      <c r="Q34" s="1505" t="str">
        <f t="shared" si="11"/>
        <v>建筑结构</v>
      </c>
      <c r="R34" s="713" t="s">
        <v>21</v>
      </c>
      <c r="S34" s="714">
        <f t="shared" si="12"/>
        <v>100</v>
      </c>
      <c r="T34" s="713" t="s">
        <v>21</v>
      </c>
      <c r="U34" s="714">
        <f t="shared" si="13"/>
        <v>100</v>
      </c>
      <c r="V34" s="713" t="s">
        <v>21</v>
      </c>
      <c r="W34" s="714">
        <f t="shared" si="14"/>
        <v>100</v>
      </c>
      <c r="X34" s="1508"/>
      <c r="Y34" s="3363"/>
      <c r="Z34" s="1509" t="str">
        <f t="shared" si="18"/>
        <v>建筑结构</v>
      </c>
      <c r="AA34" s="1506">
        <f t="shared" si="15"/>
        <v>1</v>
      </c>
      <c r="AB34" s="1506">
        <f t="shared" si="16"/>
        <v>1</v>
      </c>
      <c r="AC34" s="1506">
        <f t="shared" si="17"/>
        <v>1</v>
      </c>
    </row>
    <row r="35" spans="1:29" ht="15">
      <c r="A35" s="430"/>
      <c r="B35" s="380" t="s">
        <v>2329</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20"/>
      <c r="M35" s="2914"/>
      <c r="N35" s="2914"/>
      <c r="O35" s="2914"/>
      <c r="P35" s="3526"/>
      <c r="Q35" s="1505" t="str">
        <f t="shared" si="11"/>
        <v>建筑品质</v>
      </c>
      <c r="R35" s="713" t="s">
        <v>21</v>
      </c>
      <c r="S35" s="714">
        <f t="shared" si="12"/>
        <v>100</v>
      </c>
      <c r="T35" s="713" t="s">
        <v>21</v>
      </c>
      <c r="U35" s="714">
        <f t="shared" si="13"/>
        <v>100</v>
      </c>
      <c r="V35" s="713" t="s">
        <v>21</v>
      </c>
      <c r="W35" s="714">
        <f t="shared" si="14"/>
        <v>100</v>
      </c>
      <c r="X35" s="1508"/>
      <c r="Y35" s="3363"/>
      <c r="Z35" s="1509" t="str">
        <f t="shared" si="18"/>
        <v>建筑品质</v>
      </c>
      <c r="AA35" s="1506">
        <f t="shared" si="15"/>
        <v>1</v>
      </c>
      <c r="AB35" s="1506">
        <f t="shared" si="16"/>
        <v>1</v>
      </c>
      <c r="AC35" s="1506">
        <f t="shared" si="17"/>
        <v>1</v>
      </c>
    </row>
    <row r="36" spans="1:29" ht="15">
      <c r="A36" s="430"/>
      <c r="B36" s="380" t="s">
        <v>2330</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20"/>
      <c r="M36" s="2914"/>
      <c r="N36" s="2914"/>
      <c r="O36" s="2914"/>
      <c r="P36" s="3526"/>
      <c r="Q36" s="1505" t="str">
        <f t="shared" si="11"/>
        <v>公共部分装修</v>
      </c>
      <c r="R36" s="713" t="s">
        <v>21</v>
      </c>
      <c r="S36" s="714">
        <f t="shared" si="12"/>
        <v>100</v>
      </c>
      <c r="T36" s="713" t="s">
        <v>21</v>
      </c>
      <c r="U36" s="714">
        <f t="shared" si="13"/>
        <v>100</v>
      </c>
      <c r="V36" s="713" t="s">
        <v>21</v>
      </c>
      <c r="W36" s="714">
        <f t="shared" si="14"/>
        <v>100</v>
      </c>
      <c r="X36" s="1508"/>
      <c r="Y36" s="3363"/>
      <c r="Z36" s="1509" t="str">
        <f t="shared" si="18"/>
        <v>公共部分装修</v>
      </c>
      <c r="AA36" s="1506">
        <f t="shared" si="15"/>
        <v>1</v>
      </c>
      <c r="AB36" s="1506">
        <f t="shared" si="16"/>
        <v>1</v>
      </c>
      <c r="AC36" s="1506">
        <f t="shared" si="17"/>
        <v>1</v>
      </c>
    </row>
    <row r="37" spans="1:29" s="113" customFormat="1" ht="15">
      <c r="A37" s="431"/>
      <c r="B37" s="380" t="s">
        <v>2331</v>
      </c>
      <c r="C37" s="432"/>
      <c r="D37" s="132">
        <v>100</v>
      </c>
      <c r="E37" s="432"/>
      <c r="F37" s="383" t="e">
        <f>LOOKUP(E37,112:112,113:113)-LOOKUP(C37,112:112,113:113)+100</f>
        <v>#N/A</v>
      </c>
      <c r="G37" s="434"/>
      <c r="H37" s="132" t="e">
        <f>LOOKUP(G37,112:112,113:113)-LOOKUP(C37,112:112,113:113)+100</f>
        <v>#N/A</v>
      </c>
      <c r="I37" s="433"/>
      <c r="J37" s="132" t="e">
        <f>LOOKUP(I37,112:112,113:113)-LOOKUP(C37,112:112,113:113)+100</f>
        <v>#N/A</v>
      </c>
      <c r="K37" s="384"/>
      <c r="L37" s="2915"/>
      <c r="M37" s="2916"/>
      <c r="N37" s="2916"/>
      <c r="O37" s="2916"/>
      <c r="P37" s="3526"/>
      <c r="Q37" s="1496" t="str">
        <f t="shared" si="11"/>
        <v>成新度</v>
      </c>
      <c r="R37" s="709" t="s">
        <v>21</v>
      </c>
      <c r="S37" s="710" t="e">
        <f t="shared" si="12"/>
        <v>#N/A</v>
      </c>
      <c r="T37" s="709" t="s">
        <v>21</v>
      </c>
      <c r="U37" s="710" t="e">
        <f t="shared" si="13"/>
        <v>#N/A</v>
      </c>
      <c r="V37" s="709" t="s">
        <v>21</v>
      </c>
      <c r="W37" s="710" t="e">
        <f t="shared" si="14"/>
        <v>#N/A</v>
      </c>
      <c r="X37" s="711"/>
      <c r="Y37" s="3363"/>
      <c r="Z37" s="55" t="str">
        <f t="shared" si="18"/>
        <v>成新度</v>
      </c>
      <c r="AA37" s="712" t="e">
        <f t="shared" si="15"/>
        <v>#N/A</v>
      </c>
      <c r="AB37" s="712" t="e">
        <f t="shared" si="16"/>
        <v>#N/A</v>
      </c>
      <c r="AC37" s="712" t="e">
        <f t="shared" si="17"/>
        <v>#N/A</v>
      </c>
    </row>
    <row r="38" spans="1:29" ht="15">
      <c r="A38" s="430"/>
      <c r="B38" s="380" t="s">
        <v>2332</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20"/>
      <c r="M38" s="2914"/>
      <c r="N38" s="2914"/>
      <c r="O38" s="2914"/>
      <c r="P38" s="3526" t="s">
        <v>2326</v>
      </c>
      <c r="Q38" s="1505" t="str">
        <f t="shared" si="11"/>
        <v>物业管理</v>
      </c>
      <c r="R38" s="713" t="s">
        <v>21</v>
      </c>
      <c r="S38" s="714">
        <f t="shared" si="12"/>
        <v>100</v>
      </c>
      <c r="T38" s="713" t="s">
        <v>21</v>
      </c>
      <c r="U38" s="714">
        <f t="shared" si="13"/>
        <v>100</v>
      </c>
      <c r="V38" s="713" t="s">
        <v>21</v>
      </c>
      <c r="W38" s="714">
        <f t="shared" si="14"/>
        <v>100</v>
      </c>
      <c r="X38" s="1508"/>
      <c r="Y38" s="3363" t="s">
        <v>2326</v>
      </c>
      <c r="Z38" s="1509" t="str">
        <f t="shared" si="18"/>
        <v>物业管理</v>
      </c>
      <c r="AA38" s="1506">
        <f t="shared" si="15"/>
        <v>1</v>
      </c>
      <c r="AB38" s="1506">
        <f t="shared" si="16"/>
        <v>1</v>
      </c>
      <c r="AC38" s="1506">
        <f t="shared" si="17"/>
        <v>1</v>
      </c>
    </row>
    <row r="39" spans="1:29" ht="15">
      <c r="A39" s="430"/>
      <c r="B39" s="380" t="s">
        <v>2333</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20"/>
      <c r="M39" s="2914"/>
      <c r="N39" s="2914"/>
      <c r="O39" s="2914"/>
      <c r="P39" s="3526"/>
      <c r="Q39" s="1505" t="str">
        <f t="shared" si="11"/>
        <v>市政基础设施</v>
      </c>
      <c r="R39" s="713" t="s">
        <v>21</v>
      </c>
      <c r="S39" s="714">
        <f t="shared" si="12"/>
        <v>100</v>
      </c>
      <c r="T39" s="713" t="s">
        <v>21</v>
      </c>
      <c r="U39" s="714">
        <f t="shared" si="13"/>
        <v>100</v>
      </c>
      <c r="V39" s="713" t="s">
        <v>21</v>
      </c>
      <c r="W39" s="714">
        <f t="shared" si="14"/>
        <v>100</v>
      </c>
      <c r="X39" s="1508"/>
      <c r="Y39" s="3363"/>
      <c r="Z39" s="1509" t="str">
        <f t="shared" si="18"/>
        <v>市政基础设施</v>
      </c>
      <c r="AA39" s="1506">
        <f t="shared" si="15"/>
        <v>1</v>
      </c>
      <c r="AB39" s="1506">
        <f t="shared" si="16"/>
        <v>1</v>
      </c>
      <c r="AC39" s="1506">
        <f t="shared" si="17"/>
        <v>1</v>
      </c>
    </row>
    <row r="40" spans="1:29" ht="15">
      <c r="A40" s="430"/>
      <c r="B40" s="380" t="s">
        <v>2334</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20"/>
      <c r="M40" s="2914"/>
      <c r="N40" s="2914"/>
      <c r="O40" s="2914"/>
      <c r="P40" s="3526"/>
      <c r="Q40" s="1505" t="str">
        <f t="shared" si="11"/>
        <v>房型</v>
      </c>
      <c r="R40" s="713" t="s">
        <v>21</v>
      </c>
      <c r="S40" s="714">
        <f t="shared" si="12"/>
        <v>100</v>
      </c>
      <c r="T40" s="713" t="s">
        <v>21</v>
      </c>
      <c r="U40" s="714">
        <f t="shared" si="13"/>
        <v>100</v>
      </c>
      <c r="V40" s="713" t="s">
        <v>21</v>
      </c>
      <c r="W40" s="714">
        <f t="shared" si="14"/>
        <v>100</v>
      </c>
      <c r="X40" s="1508"/>
      <c r="Y40" s="3363"/>
      <c r="Z40" s="1509" t="str">
        <f t="shared" si="18"/>
        <v>房型</v>
      </c>
      <c r="AA40" s="1506">
        <f t="shared" si="15"/>
        <v>1</v>
      </c>
      <c r="AB40" s="1506">
        <f t="shared" si="16"/>
        <v>1</v>
      </c>
      <c r="AC40" s="1506">
        <f t="shared" si="17"/>
        <v>1</v>
      </c>
    </row>
    <row r="41" spans="1:29" s="429" customFormat="1" ht="28.5">
      <c r="A41" s="426"/>
      <c r="B41" s="380" t="s">
        <v>2335</v>
      </c>
      <c r="C41" s="427"/>
      <c r="D41" s="132">
        <v>100</v>
      </c>
      <c r="E41" s="388"/>
      <c r="F41" s="383">
        <f>SUMIF(120:120,E41,121:121)-SUMIF(120:120,C41,121:121)+100</f>
        <v>100</v>
      </c>
      <c r="G41" s="387"/>
      <c r="H41" s="132">
        <f>SUMIF(120:120,G41,121:121)-SUMIF(120:120,C41,121:121)+100</f>
        <v>100</v>
      </c>
      <c r="I41" s="435"/>
      <c r="J41" s="393">
        <f>SUMIF(120:120,I41,121:121)-SUMIF(120:120,C41,121:121)+100</f>
        <v>100</v>
      </c>
      <c r="K41" s="2049"/>
      <c r="L41" s="2919"/>
      <c r="M41" s="2921"/>
      <c r="N41" s="2921"/>
      <c r="O41" s="2921"/>
      <c r="P41" s="3526"/>
      <c r="Q41" s="715" t="str">
        <f t="shared" si="11"/>
        <v>单套/主力户型建筑面积</v>
      </c>
      <c r="R41" s="716" t="s">
        <v>21</v>
      </c>
      <c r="S41" s="717">
        <f t="shared" si="12"/>
        <v>100</v>
      </c>
      <c r="T41" s="716" t="s">
        <v>21</v>
      </c>
      <c r="U41" s="717">
        <f t="shared" si="13"/>
        <v>100</v>
      </c>
      <c r="V41" s="716" t="s">
        <v>21</v>
      </c>
      <c r="W41" s="717">
        <f t="shared" si="14"/>
        <v>100</v>
      </c>
      <c r="X41" s="718"/>
      <c r="Y41" s="3363"/>
      <c r="Z41" s="719" t="str">
        <f t="shared" si="18"/>
        <v>单套/主力户型建筑面积</v>
      </c>
      <c r="AA41" s="1506">
        <f t="shared" si="15"/>
        <v>1</v>
      </c>
      <c r="AB41" s="1506">
        <f t="shared" si="16"/>
        <v>1</v>
      </c>
      <c r="AC41" s="1506">
        <f t="shared" si="17"/>
        <v>1</v>
      </c>
    </row>
    <row r="42" spans="1:29" ht="15">
      <c r="A42" s="430"/>
      <c r="B42" s="380" t="s">
        <v>2336</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20"/>
      <c r="M42" s="2914"/>
      <c r="N42" s="2914"/>
      <c r="O42" s="2914"/>
      <c r="P42" s="3526"/>
      <c r="Q42" s="1505" t="str">
        <f t="shared" si="11"/>
        <v>内部装修</v>
      </c>
      <c r="R42" s="713" t="s">
        <v>21</v>
      </c>
      <c r="S42" s="714">
        <f t="shared" si="12"/>
        <v>100</v>
      </c>
      <c r="T42" s="713" t="s">
        <v>21</v>
      </c>
      <c r="U42" s="714">
        <f t="shared" si="13"/>
        <v>100</v>
      </c>
      <c r="V42" s="713" t="s">
        <v>21</v>
      </c>
      <c r="W42" s="714">
        <f t="shared" si="14"/>
        <v>100</v>
      </c>
      <c r="X42" s="1508"/>
      <c r="Y42" s="3363"/>
      <c r="Z42" s="1509" t="str">
        <f t="shared" si="18"/>
        <v>内部装修</v>
      </c>
      <c r="AA42" s="1506">
        <f t="shared" si="15"/>
        <v>1</v>
      </c>
      <c r="AB42" s="1506">
        <f t="shared" si="16"/>
        <v>1</v>
      </c>
      <c r="AC42" s="1506">
        <f t="shared" si="17"/>
        <v>1</v>
      </c>
    </row>
    <row r="43" spans="1:29" ht="15">
      <c r="A43" s="430"/>
      <c r="B43" s="380" t="s">
        <v>2337</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20"/>
      <c r="M43" s="2914"/>
      <c r="N43" s="2914"/>
      <c r="O43" s="2914"/>
      <c r="P43" s="3526"/>
      <c r="Q43" s="1505" t="str">
        <f t="shared" si="11"/>
        <v>内部装修维护情况</v>
      </c>
      <c r="R43" s="713" t="s">
        <v>21</v>
      </c>
      <c r="S43" s="714">
        <f t="shared" si="12"/>
        <v>100</v>
      </c>
      <c r="T43" s="713" t="s">
        <v>21</v>
      </c>
      <c r="U43" s="714">
        <f t="shared" si="13"/>
        <v>100</v>
      </c>
      <c r="V43" s="713" t="s">
        <v>21</v>
      </c>
      <c r="W43" s="714">
        <f t="shared" si="14"/>
        <v>100</v>
      </c>
      <c r="X43" s="1508"/>
      <c r="Y43" s="3363"/>
      <c r="Z43" s="1509" t="str">
        <f t="shared" si="18"/>
        <v>内部装修维护情况</v>
      </c>
      <c r="AA43" s="1506">
        <f t="shared" si="15"/>
        <v>1</v>
      </c>
      <c r="AB43" s="1506">
        <f t="shared" si="16"/>
        <v>1</v>
      </c>
      <c r="AC43" s="1506">
        <f t="shared" si="17"/>
        <v>1</v>
      </c>
    </row>
    <row r="44" spans="1:29" s="113" customFormat="1" ht="15">
      <c r="A44" s="431"/>
      <c r="B44" s="1266">
        <v>111</v>
      </c>
      <c r="C44" s="427"/>
      <c r="D44" s="132">
        <v>100</v>
      </c>
      <c r="E44" s="427"/>
      <c r="F44" s="383">
        <f>SUMIF(126:126,E44,127:127)-SUMIF(126:126,C44,127:127)+100</f>
        <v>100</v>
      </c>
      <c r="G44" s="427"/>
      <c r="H44" s="132">
        <f>SUMIF(126:126,G44,127:127)-SUMIF(126:126,C44,127:127)+100</f>
        <v>100</v>
      </c>
      <c r="I44" s="427"/>
      <c r="J44" s="132">
        <f>SUMIF(126:126,I44,127:127)-SUMIF(126:126,C44,127:127)+100</f>
        <v>100</v>
      </c>
      <c r="K44" s="2049"/>
      <c r="L44" s="2915"/>
      <c r="M44" s="2916"/>
      <c r="N44" s="2916"/>
      <c r="O44" s="2916"/>
      <c r="P44" s="3526"/>
      <c r="Q44" s="1496">
        <f t="shared" si="11"/>
        <v>111</v>
      </c>
      <c r="R44" s="709" t="s">
        <v>21</v>
      </c>
      <c r="S44" s="710">
        <f t="shared" si="12"/>
        <v>100</v>
      </c>
      <c r="T44" s="709" t="s">
        <v>21</v>
      </c>
      <c r="U44" s="710">
        <f t="shared" si="13"/>
        <v>100</v>
      </c>
      <c r="V44" s="709" t="s">
        <v>21</v>
      </c>
      <c r="W44" s="710">
        <f t="shared" si="14"/>
        <v>100</v>
      </c>
      <c r="X44" s="711"/>
      <c r="Y44" s="3363"/>
      <c r="Z44" s="55">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20"/>
      <c r="M45" s="2914"/>
      <c r="N45" s="2914"/>
      <c r="O45" s="2914"/>
      <c r="P45" s="3526"/>
      <c r="Q45" s="1505">
        <f t="shared" si="11"/>
        <v>111</v>
      </c>
      <c r="R45" s="713" t="s">
        <v>21</v>
      </c>
      <c r="S45" s="714">
        <f t="shared" si="12"/>
        <v>100</v>
      </c>
      <c r="T45" s="713" t="s">
        <v>21</v>
      </c>
      <c r="U45" s="714">
        <f t="shared" si="13"/>
        <v>100</v>
      </c>
      <c r="V45" s="713" t="s">
        <v>21</v>
      </c>
      <c r="W45" s="714">
        <f t="shared" si="14"/>
        <v>100</v>
      </c>
      <c r="X45" s="1508"/>
      <c r="Y45" s="3363"/>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20"/>
      <c r="M46" s="2914"/>
      <c r="N46" s="2914"/>
      <c r="O46" s="2914"/>
      <c r="P46" s="3527"/>
      <c r="Q46" s="1505">
        <f t="shared" si="11"/>
        <v>111</v>
      </c>
      <c r="R46" s="713" t="s">
        <v>20</v>
      </c>
      <c r="S46" s="714">
        <f t="shared" si="12"/>
        <v>100</v>
      </c>
      <c r="T46" s="713" t="s">
        <v>20</v>
      </c>
      <c r="U46" s="714">
        <f t="shared" si="13"/>
        <v>100</v>
      </c>
      <c r="V46" s="713" t="s">
        <v>20</v>
      </c>
      <c r="W46" s="714">
        <f t="shared" si="14"/>
        <v>100</v>
      </c>
      <c r="X46" s="1508"/>
      <c r="Y46" s="3528"/>
      <c r="Z46" s="1509">
        <f t="shared" si="18"/>
        <v>111</v>
      </c>
      <c r="AA46" s="1506">
        <f t="shared" si="15"/>
        <v>1</v>
      </c>
      <c r="AB46" s="1506">
        <f t="shared" si="16"/>
        <v>1</v>
      </c>
      <c r="AC46" s="1506">
        <f t="shared" si="17"/>
        <v>1</v>
      </c>
    </row>
    <row r="47" spans="1:29" ht="15">
      <c r="A47" s="437" t="s">
        <v>2338</v>
      </c>
      <c r="B47" s="438"/>
      <c r="C47" s="1287" t="s">
        <v>19</v>
      </c>
      <c r="D47" s="1288"/>
      <c r="E47" s="1289"/>
      <c r="F47" s="1290"/>
      <c r="G47" s="1291"/>
      <c r="H47" s="1292"/>
      <c r="I47" s="1289"/>
      <c r="J47" s="1292"/>
      <c r="K47" s="2069"/>
      <c r="L47" s="2922"/>
      <c r="M47" s="2923"/>
      <c r="N47" s="2914"/>
      <c r="O47" s="2923"/>
      <c r="P47" s="3355" t="str">
        <f>A47</f>
        <v>成交单价（元/平方米）</v>
      </c>
      <c r="Q47" s="3355"/>
      <c r="R47" s="3356">
        <f>E47</f>
        <v>0</v>
      </c>
      <c r="S47" s="3356"/>
      <c r="T47" s="3356">
        <f>G47</f>
        <v>0</v>
      </c>
      <c r="U47" s="3356"/>
      <c r="V47" s="3356">
        <f>I47</f>
        <v>0</v>
      </c>
      <c r="W47" s="3356"/>
      <c r="X47" s="698"/>
      <c r="Y47" s="720"/>
      <c r="Z47" s="698"/>
      <c r="AA47" s="698"/>
      <c r="AB47" s="698"/>
      <c r="AC47" s="698"/>
    </row>
    <row r="48" spans="1:29" ht="15.75" thickBot="1">
      <c r="A48" s="444" t="s">
        <v>2339</v>
      </c>
      <c r="B48" s="445"/>
      <c r="C48" s="1293" t="e">
        <f>R49</f>
        <v>#DIV/0!</v>
      </c>
      <c r="D48" s="2507" t="s">
        <v>2818</v>
      </c>
      <c r="E48" s="1294" t="e">
        <f>R48</f>
        <v>#DIV/0!</v>
      </c>
      <c r="F48" s="2508"/>
      <c r="G48" s="1293" t="e">
        <f>T48</f>
        <v>#DIV/0!</v>
      </c>
      <c r="H48" s="2508"/>
      <c r="I48" s="1294" t="e">
        <f>V48</f>
        <v>#DIV/0!</v>
      </c>
      <c r="J48" s="2508"/>
      <c r="K48" s="2509">
        <f>F48+H48+J48</f>
        <v>0</v>
      </c>
      <c r="L48" s="2922"/>
      <c r="M48" s="2923"/>
      <c r="N48" s="2923"/>
      <c r="O48" s="2923"/>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70"/>
      <c r="L49" s="2922"/>
      <c r="M49" s="2923"/>
      <c r="N49" s="2923"/>
      <c r="O49" s="2923"/>
      <c r="P49" s="3357" t="str">
        <f>A49</f>
        <v>估价对象XX用房的比较价值（楼面单价，元/平方米）</v>
      </c>
      <c r="Q49" s="3358"/>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row>
    <row r="53" spans="1:29" ht="13.5" customHeight="1">
      <c r="A53" s="2923"/>
      <c r="B53" s="2923"/>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row>
    <row r="54" spans="1:29" s="458" customFormat="1" ht="13.5" customHeight="1">
      <c r="A54" s="2926"/>
      <c r="B54" s="2926"/>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072"/>
    </row>
    <row r="55" spans="1:29" s="458"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2" t="s">
        <v>2344</v>
      </c>
      <c r="B57" s="698"/>
      <c r="C57" s="703"/>
      <c r="D57" s="703"/>
      <c r="E57" s="703"/>
      <c r="F57" s="704"/>
      <c r="G57" s="704"/>
      <c r="H57" s="703"/>
      <c r="I57" s="703"/>
      <c r="J57" s="703"/>
      <c r="K57" s="1071"/>
      <c r="L57" s="1072"/>
      <c r="M57" s="1070"/>
      <c r="N57" s="1070"/>
      <c r="O57" s="1070"/>
      <c r="P57" s="2073"/>
      <c r="Q57" s="460"/>
    </row>
    <row r="58" spans="1:29" s="464" customFormat="1" ht="15">
      <c r="A58" s="461" t="s">
        <v>2345</v>
      </c>
      <c r="B58" s="462"/>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5"/>
      <c r="B59" s="2074"/>
      <c r="C59" s="1316">
        <v>100</v>
      </c>
      <c r="D59" s="467"/>
      <c r="E59" s="468"/>
      <c r="F59" s="468"/>
      <c r="G59" s="468"/>
      <c r="H59" s="468"/>
      <c r="I59" s="468"/>
      <c r="J59" s="468"/>
      <c r="K59" s="468"/>
      <c r="L59" s="468"/>
      <c r="M59" s="469"/>
      <c r="N59" s="468"/>
      <c r="O59" s="469"/>
      <c r="P59" s="2075"/>
    </row>
    <row r="60" spans="1:29" s="113" customFormat="1" ht="15.75" thickBot="1">
      <c r="A60" s="471" t="s">
        <v>2346</v>
      </c>
      <c r="B60" s="472"/>
      <c r="C60" s="473"/>
      <c r="D60" s="474"/>
      <c r="E60" s="474"/>
      <c r="F60" s="474"/>
      <c r="G60" s="474"/>
      <c r="H60" s="474"/>
      <c r="I60" s="474"/>
      <c r="J60" s="474"/>
      <c r="K60" s="474"/>
      <c r="L60" s="474"/>
      <c r="M60" s="475"/>
      <c r="N60" s="474"/>
      <c r="O60" s="475"/>
      <c r="P60" s="2075"/>
      <c r="Q60" s="460"/>
    </row>
    <row r="61" spans="1:29" s="113" customFormat="1" ht="15">
      <c r="A61" s="477" t="s">
        <v>2347</v>
      </c>
      <c r="B61" s="466"/>
      <c r="C61" s="478" t="s">
        <v>2348</v>
      </c>
      <c r="D61" s="479"/>
      <c r="E61" s="479"/>
      <c r="F61" s="479"/>
      <c r="G61" s="479"/>
      <c r="H61" s="479"/>
      <c r="I61" s="479"/>
      <c r="J61" s="479"/>
      <c r="K61" s="479"/>
      <c r="L61" s="480"/>
      <c r="M61" s="481"/>
      <c r="N61" s="1062"/>
      <c r="O61" s="1062"/>
      <c r="P61" s="2076"/>
      <c r="Q61" s="460"/>
    </row>
    <row r="62" spans="1:29" s="113"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2349</v>
      </c>
      <c r="B63" s="484" t="s">
        <v>2315</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3" customFormat="1" ht="15.75" thickTop="1">
      <c r="A86" s="535"/>
      <c r="B86" s="494" t="s">
        <v>2371</v>
      </c>
      <c r="C86" s="510"/>
      <c r="D86" s="510"/>
      <c r="E86" s="510"/>
      <c r="F86" s="510"/>
      <c r="G86" s="510"/>
      <c r="H86" s="510"/>
      <c r="I86" s="510"/>
      <c r="J86" s="510"/>
      <c r="K86" s="510"/>
      <c r="L86" s="536"/>
      <c r="M86" s="537"/>
      <c r="N86" s="1062"/>
      <c r="O86" s="1062"/>
      <c r="P86" s="2077"/>
      <c r="Q86" s="460"/>
    </row>
    <row r="87" spans="1:17" s="113"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3" customFormat="1" ht="15.75" thickTop="1">
      <c r="A88" s="535"/>
      <c r="B88" s="494" t="s">
        <v>2372</v>
      </c>
      <c r="C88" s="510"/>
      <c r="D88" s="510"/>
      <c r="E88" s="510"/>
      <c r="F88" s="2082"/>
      <c r="G88" s="510"/>
      <c r="H88" s="510"/>
      <c r="I88" s="510"/>
      <c r="J88" s="510"/>
      <c r="K88" s="510"/>
      <c r="L88" s="510"/>
      <c r="M88" s="537"/>
      <c r="N88" s="1062"/>
      <c r="O88" s="1062"/>
      <c r="P88" s="2077"/>
      <c r="Q88" s="460"/>
    </row>
    <row r="89" spans="1:17" s="113"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2324</v>
      </c>
      <c r="B100" s="484" t="s">
        <v>2373</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2375</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2376</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2377</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2378</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2379</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2380</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2381</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7">
        <v>6</v>
      </c>
      <c r="C139" s="998">
        <v>96</v>
      </c>
      <c r="D139" s="2095" t="s">
        <v>2392</v>
      </c>
      <c r="E139" s="999">
        <v>100</v>
      </c>
      <c r="F139" s="1000">
        <v>102.5</v>
      </c>
      <c r="G139" s="2095" t="s">
        <v>2392</v>
      </c>
      <c r="H139" s="1001">
        <v>105</v>
      </c>
      <c r="I139" s="2096" t="s">
        <v>2393</v>
      </c>
      <c r="J139" s="998">
        <v>20</v>
      </c>
      <c r="K139" s="1002">
        <f>C145/(J139-2)</f>
        <v>4.0555555555555553E-3</v>
      </c>
    </row>
    <row r="140" spans="1:17" ht="15">
      <c r="B140" s="1003">
        <v>5</v>
      </c>
      <c r="C140" s="1004">
        <v>100</v>
      </c>
      <c r="D140" s="1004"/>
      <c r="E140" s="1005"/>
      <c r="F140" s="1006">
        <v>102</v>
      </c>
      <c r="G140" s="1004"/>
      <c r="H140" s="1007"/>
      <c r="I140" s="2097" t="s">
        <v>2394</v>
      </c>
      <c r="J140" s="276">
        <f>ROUNDUP((J139-1)/2,0)</f>
        <v>10</v>
      </c>
      <c r="K140" s="1008">
        <v>100</v>
      </c>
    </row>
    <row r="141" spans="1:17" ht="15">
      <c r="B141" s="1003">
        <v>4</v>
      </c>
      <c r="C141" s="1004">
        <v>102</v>
      </c>
      <c r="D141" s="1004"/>
      <c r="E141" s="1005"/>
      <c r="F141" s="1006">
        <v>101.5</v>
      </c>
      <c r="G141" s="1004"/>
      <c r="H141" s="1007"/>
      <c r="I141" s="2097" t="s">
        <v>2395</v>
      </c>
      <c r="J141" s="276">
        <v>1</v>
      </c>
      <c r="K141" s="1009">
        <f>ROUND(100+(J141-J140)*K139*100,1)</f>
        <v>96.4</v>
      </c>
    </row>
    <row r="142" spans="1:17" ht="15">
      <c r="B142" s="1003">
        <v>3</v>
      </c>
      <c r="C142" s="1004">
        <v>103</v>
      </c>
      <c r="D142" s="1004"/>
      <c r="E142" s="1005"/>
      <c r="F142" s="1006">
        <v>101</v>
      </c>
      <c r="G142" s="1004"/>
      <c r="H142" s="1007"/>
      <c r="I142" s="2097" t="s">
        <v>2396</v>
      </c>
      <c r="J142" s="276">
        <f>J139</f>
        <v>20</v>
      </c>
      <c r="K142" s="1010">
        <v>95</v>
      </c>
    </row>
    <row r="143" spans="1:17" ht="15">
      <c r="B143" s="1003">
        <v>2</v>
      </c>
      <c r="C143" s="1004">
        <v>100</v>
      </c>
      <c r="D143" s="1004"/>
      <c r="E143" s="1005"/>
      <c r="F143" s="1006">
        <v>100.5</v>
      </c>
      <c r="G143" s="1004"/>
      <c r="H143" s="1007"/>
      <c r="I143" s="2097" t="s">
        <v>2397</v>
      </c>
      <c r="J143" s="1004">
        <v>15</v>
      </c>
      <c r="K143" s="1009">
        <f>ROUND(100+(J143-J140)*K139*100,1)</f>
        <v>102</v>
      </c>
    </row>
    <row r="144" spans="1:17" ht="15">
      <c r="B144" s="1003">
        <v>1</v>
      </c>
      <c r="C144" s="1004">
        <v>98</v>
      </c>
      <c r="D144" s="2098" t="s">
        <v>2398</v>
      </c>
      <c r="E144" s="1005">
        <v>102</v>
      </c>
      <c r="F144" s="1011">
        <v>100</v>
      </c>
      <c r="G144" s="2098" t="s">
        <v>2398</v>
      </c>
      <c r="H144" s="1007">
        <v>105</v>
      </c>
      <c r="I144" s="2097" t="s">
        <v>2397</v>
      </c>
      <c r="J144" s="1004">
        <v>18</v>
      </c>
      <c r="K144" s="1009">
        <f>ROUND(100+(J144-J140)*K139*100,1)</f>
        <v>103.2</v>
      </c>
    </row>
    <row r="145" spans="2:11" ht="15.75" thickBot="1">
      <c r="B145" s="2099" t="s">
        <v>2399</v>
      </c>
      <c r="C145" s="1012">
        <f>ROUND(MAX(C139:C144)/MIN(C139:C144)-1,3)</f>
        <v>7.2999999999999995E-2</v>
      </c>
      <c r="D145" s="1013"/>
      <c r="E145" s="1013"/>
      <c r="F145" s="2100" t="s">
        <v>2400</v>
      </c>
      <c r="G145" s="2101"/>
      <c r="H145" s="2102"/>
      <c r="I145" s="2103" t="s">
        <v>2397</v>
      </c>
      <c r="J145" s="1014">
        <v>8</v>
      </c>
      <c r="K145" s="1015">
        <f>ROUND(100+(J145-J140)*K139*100,1)</f>
        <v>99.2</v>
      </c>
    </row>
    <row r="147" spans="2:11">
      <c r="B147" s="2084" t="s">
        <v>2401</v>
      </c>
    </row>
    <row r="148" spans="2:11">
      <c r="B148" s="2084"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2088</v>
      </c>
      <c r="B2" s="1297" t="e">
        <f ca="1">IF(C2="——",ROUND(C49*D3/10000,0),ROUND(C49*D3/10000,0)-D2)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2107"/>
      <c r="Q2" s="1042"/>
      <c r="R2" s="1042"/>
      <c r="S2" s="1042"/>
      <c r="T2" s="1042"/>
      <c r="U2" s="1042"/>
      <c r="V2" s="1042"/>
      <c r="W2" s="1042"/>
      <c r="X2" s="1042"/>
      <c r="Y2" s="1042"/>
      <c r="Z2" s="1042"/>
      <c r="AA2" s="1042"/>
      <c r="AB2" s="1042"/>
      <c r="AC2" s="2108"/>
    </row>
    <row r="3" spans="1:29" s="357" customFormat="1" ht="28.5" customHeight="1" thickBot="1">
      <c r="A3" s="208" t="s">
        <v>2090</v>
      </c>
      <c r="B3" s="565" t="e">
        <f ca="1">IF(C2="——",C49,ROUND(B2*10000/D3,0))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2107"/>
      <c r="Q3" s="1042"/>
      <c r="R3" s="1042"/>
      <c r="S3" s="1042"/>
      <c r="T3" s="1042"/>
      <c r="U3" s="1042"/>
      <c r="V3" s="1042"/>
      <c r="W3" s="1042"/>
      <c r="X3" s="1042"/>
      <c r="Y3" s="1042"/>
      <c r="Z3" s="1042"/>
      <c r="AA3" s="1042"/>
      <c r="AB3" s="1042"/>
      <c r="AC3" s="2109"/>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84"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84"/>
      <c r="AC5" s="336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84"/>
      <c r="AC6" s="3367"/>
    </row>
    <row r="7" spans="1:29" s="113" customFormat="1" ht="15.75" thickBot="1">
      <c r="A7" s="367" t="s">
        <v>2309</v>
      </c>
      <c r="B7" s="368"/>
      <c r="C7" s="369">
        <f>'数据-取费表'!B2</f>
        <v>44617</v>
      </c>
      <c r="D7" s="370">
        <v>100</v>
      </c>
      <c r="E7" s="371"/>
      <c r="F7" s="372">
        <f>SUMIF(58:58,YEAR(E7)&amp;"-"&amp;MONTH(E7),59:59)</f>
        <v>0</v>
      </c>
      <c r="G7" s="371"/>
      <c r="H7" s="370">
        <f>SUMIF(58:58,YEAR(G7)&amp;"-"&amp;MONTH(G7),59:59)</f>
        <v>0</v>
      </c>
      <c r="I7" s="371"/>
      <c r="J7" s="370">
        <f>SUMIF(58:58,YEAR(I7)&amp;"-"&amp;MONTH(I7),59:59)</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6" si="3">D8/F8</f>
        <v>#DIV/0!</v>
      </c>
      <c r="AB8" s="712" t="e">
        <f t="shared" ref="AB8:AB46" si="4">D8/H8</f>
        <v>#DIV/0!</v>
      </c>
      <c r="AC8" s="712" t="e">
        <f t="shared" ref="AC8:AC46" si="5">D8/J8</f>
        <v>#DIV/0!</v>
      </c>
    </row>
    <row r="9" spans="1:29" s="113" customFormat="1">
      <c r="A9" s="374" t="s">
        <v>2314</v>
      </c>
      <c r="B9" s="67" t="s">
        <v>2315</v>
      </c>
      <c r="C9" s="375"/>
      <c r="D9" s="131">
        <v>100</v>
      </c>
      <c r="E9" s="376"/>
      <c r="F9" s="377">
        <f>SUMIF(63:63,E9,64:64)-SUMIF(63:63,C9,64:64)+100</f>
        <v>100</v>
      </c>
      <c r="G9" s="376"/>
      <c r="H9" s="131">
        <f>SUMIF(63:63,G9,64:64)-SUMIF(63:63,C9,64:64)+100</f>
        <v>100</v>
      </c>
      <c r="I9" s="376"/>
      <c r="J9" s="131">
        <f>SUMIF(63:63,I9,64:64)-SUMIF(63:63,C9,64:64)+100</f>
        <v>100</v>
      </c>
      <c r="K9" s="567"/>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2"/>
      <c r="F10" s="383">
        <f>SUMIF(65:65,E10,66:66)-SUMIF(65:65,C10,66:66)+100</f>
        <v>100</v>
      </c>
      <c r="G10" s="381"/>
      <c r="H10" s="132">
        <f>SUMIF(65:65,G10,66:66)-SUMIF(65:65,C10,66:66)+100</f>
        <v>100</v>
      </c>
      <c r="I10" s="381"/>
      <c r="J10" s="132">
        <f>SUMIF(65:65,I10,66:66)-SUMIF(65:65,C10,66:66)+100</f>
        <v>100</v>
      </c>
      <c r="K10" s="568"/>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8"/>
      <c r="F11" s="383" t="e">
        <f>LOOKUP(E11,68:68,69:69)-LOOKUP(C11,68:68,69:69)+100</f>
        <v>#N/A</v>
      </c>
      <c r="G11" s="387"/>
      <c r="H11" s="132" t="e">
        <f>LOOKUP(G11,68:68,69:69)-LOOKUP(C11,68:68,69:69)+100</f>
        <v>#N/A</v>
      </c>
      <c r="I11" s="387"/>
      <c r="J11" s="132" t="e">
        <f>LOOKUP(I11,68:68,69:69)-LOOKUP(C11,68:68,69:69)+100</f>
        <v>#N/A</v>
      </c>
      <c r="K11" s="568"/>
      <c r="L11" s="2919"/>
      <c r="M11" s="2914"/>
      <c r="N11" s="2914"/>
      <c r="O11" s="2914"/>
      <c r="P11" s="3531"/>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383">
        <f>SUMIF(70:70,E12,71:71)-SUMIF(70:70,C12,71:71)+100</f>
        <v>100</v>
      </c>
      <c r="G12" s="392"/>
      <c r="H12" s="132">
        <f>SUMIF(70:70,G12,71:71)-SUMIF(70:70,C12,71:71)+100</f>
        <v>100</v>
      </c>
      <c r="I12" s="392"/>
      <c r="J12" s="132">
        <f>SUMIF(70:70,I12,71:71)-SUMIF(70:70,C12,71:71)+100</f>
        <v>100</v>
      </c>
      <c r="K12" s="569"/>
      <c r="L12" s="2915"/>
      <c r="M12" s="2916"/>
      <c r="N12" s="2916"/>
      <c r="O12" s="2916"/>
      <c r="P12" s="3531"/>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20"/>
      <c r="M13" s="2914"/>
      <c r="N13" s="2914"/>
      <c r="O13" s="2914"/>
      <c r="P13" s="3531"/>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20"/>
      <c r="M14" s="2914"/>
      <c r="N14" s="2914"/>
      <c r="O14" s="2914"/>
      <c r="P14" s="3531"/>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71.25">
      <c r="A15" s="398" t="s">
        <v>2320</v>
      </c>
      <c r="B15" s="65" t="s">
        <v>2414</v>
      </c>
      <c r="C15" s="2051"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20"/>
      <c r="M15" s="2914"/>
      <c r="N15" s="2914"/>
      <c r="O15" s="2914"/>
      <c r="P15" s="3529" t="s">
        <v>2321</v>
      </c>
      <c r="Q15" s="1505" t="str">
        <f t="shared" si="6"/>
        <v>商业繁华度</v>
      </c>
      <c r="R15" s="713" t="s">
        <v>17</v>
      </c>
      <c r="S15" s="714">
        <f t="shared" si="0"/>
        <v>100</v>
      </c>
      <c r="T15" s="713" t="s">
        <v>17</v>
      </c>
      <c r="U15" s="714">
        <f t="shared" si="1"/>
        <v>100</v>
      </c>
      <c r="V15" s="713" t="s">
        <v>17</v>
      </c>
      <c r="W15" s="714">
        <f t="shared" si="2"/>
        <v>100</v>
      </c>
      <c r="X15" s="1508"/>
      <c r="Y15" s="3360" t="s">
        <v>2321</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20"/>
      <c r="M16" s="2914"/>
      <c r="N16" s="2914"/>
      <c r="O16" s="2914"/>
      <c r="P16" s="3530"/>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20"/>
      <c r="M18" s="2914"/>
      <c r="N18" s="2914"/>
      <c r="O18" s="2914"/>
      <c r="P18" s="3530"/>
      <c r="Q18" s="1505"/>
      <c r="R18" s="713"/>
      <c r="S18" s="714"/>
      <c r="T18" s="713"/>
      <c r="U18" s="714"/>
      <c r="V18" s="713"/>
      <c r="W18" s="714"/>
      <c r="X18" s="1508"/>
      <c r="Y18" s="3361"/>
      <c r="Z18" s="1509"/>
      <c r="AA18" s="1506">
        <v>1</v>
      </c>
      <c r="AB18" s="1506">
        <v>1</v>
      </c>
      <c r="AC18" s="1506">
        <v>1</v>
      </c>
    </row>
    <row r="19" spans="1:29" ht="42.75">
      <c r="A19" s="386"/>
      <c r="B19" s="409" t="s">
        <v>2415</v>
      </c>
      <c r="C19" s="2055"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20"/>
      <c r="M20" s="2914"/>
      <c r="N20" s="2914"/>
      <c r="O20" s="2914"/>
      <c r="P20" s="3530"/>
      <c r="Q20" s="1505"/>
      <c r="R20" s="713"/>
      <c r="S20" s="714"/>
      <c r="T20" s="713"/>
      <c r="U20" s="714"/>
      <c r="V20" s="713"/>
      <c r="W20" s="714"/>
      <c r="X20" s="1508"/>
      <c r="Y20" s="3361"/>
      <c r="Z20" s="1509"/>
      <c r="AA20" s="1506">
        <v>1</v>
      </c>
      <c r="AB20" s="1506">
        <v>1</v>
      </c>
      <c r="AC20" s="1506">
        <v>1</v>
      </c>
    </row>
    <row r="21" spans="1:29" ht="28.5">
      <c r="A21" s="386"/>
      <c r="B21" s="1264" t="s">
        <v>2416</v>
      </c>
      <c r="C21" s="2055"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20"/>
      <c r="M22" s="2914"/>
      <c r="N22" s="2914"/>
      <c r="O22" s="2914"/>
      <c r="P22" s="3530"/>
      <c r="Q22" s="1505"/>
      <c r="R22" s="713"/>
      <c r="S22" s="714"/>
      <c r="T22" s="713"/>
      <c r="U22" s="714"/>
      <c r="V22" s="713"/>
      <c r="W22" s="714"/>
      <c r="X22" s="1508"/>
      <c r="Y22" s="3361"/>
      <c r="Z22" s="1509"/>
      <c r="AA22" s="1506">
        <v>1</v>
      </c>
      <c r="AB22" s="1506">
        <v>1</v>
      </c>
      <c r="AC22" s="1506">
        <v>1</v>
      </c>
    </row>
    <row r="23" spans="1:29" ht="57">
      <c r="A23" s="386"/>
      <c r="B23" s="409" t="s">
        <v>1887</v>
      </c>
      <c r="C23" s="2110"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20"/>
      <c r="M23" s="2914"/>
      <c r="N23" s="2914"/>
      <c r="O23" s="2914"/>
      <c r="P23" s="3530"/>
      <c r="Q23" s="1505" t="str">
        <f>B23</f>
        <v>自然及人文环境</v>
      </c>
      <c r="R23" s="713" t="s">
        <v>17</v>
      </c>
      <c r="S23" s="714">
        <f>F23</f>
        <v>100</v>
      </c>
      <c r="T23" s="713" t="s">
        <v>17</v>
      </c>
      <c r="U23" s="714">
        <f>H23</f>
        <v>100</v>
      </c>
      <c r="V23" s="713" t="s">
        <v>17</v>
      </c>
      <c r="W23" s="714">
        <f>J23</f>
        <v>100</v>
      </c>
      <c r="X23" s="1508"/>
      <c r="Y23" s="3361"/>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20"/>
      <c r="M24" s="2914"/>
      <c r="N24" s="2914"/>
      <c r="O24" s="2914"/>
      <c r="P24" s="3530"/>
      <c r="Q24" s="1505"/>
      <c r="R24" s="713"/>
      <c r="S24" s="714"/>
      <c r="T24" s="713"/>
      <c r="U24" s="714"/>
      <c r="V24" s="713"/>
      <c r="W24" s="714"/>
      <c r="X24" s="1508"/>
      <c r="Y24" s="3361"/>
      <c r="Z24" s="1509"/>
      <c r="AA24" s="1506">
        <v>1</v>
      </c>
      <c r="AB24" s="1506">
        <v>1</v>
      </c>
      <c r="AC24" s="1506">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20"/>
      <c r="M25" s="2914"/>
      <c r="N25" s="2914"/>
      <c r="O25" s="2914"/>
      <c r="P25" s="3530"/>
      <c r="Q25" s="1505" t="str">
        <f t="shared" ref="Q25:Q46" si="11">B25</f>
        <v>临街状况</v>
      </c>
      <c r="R25" s="713" t="s">
        <v>17</v>
      </c>
      <c r="S25" s="714">
        <f>F25</f>
        <v>100</v>
      </c>
      <c r="T25" s="713" t="s">
        <v>17</v>
      </c>
      <c r="U25" s="714">
        <f>H25</f>
        <v>100</v>
      </c>
      <c r="V25" s="713" t="s">
        <v>17</v>
      </c>
      <c r="W25" s="714">
        <f>J25</f>
        <v>100</v>
      </c>
      <c r="X25" s="1508"/>
      <c r="Y25" s="3361"/>
      <c r="Z25" s="1509" t="str">
        <f>Q25</f>
        <v>临街状况</v>
      </c>
      <c r="AA25" s="1506">
        <f t="shared" si="3"/>
        <v>1</v>
      </c>
      <c r="AB25" s="1506">
        <f t="shared" si="4"/>
        <v>1</v>
      </c>
      <c r="AC25" s="1506">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20"/>
      <c r="M26" s="2914"/>
      <c r="N26" s="2914"/>
      <c r="O26" s="2914"/>
      <c r="P26" s="3530"/>
      <c r="Q26" s="1505" t="str">
        <f t="shared" si="11"/>
        <v>平面位置/可视性</v>
      </c>
      <c r="R26" s="713" t="s">
        <v>17</v>
      </c>
      <c r="S26" s="714">
        <f>F26</f>
        <v>100</v>
      </c>
      <c r="T26" s="713" t="s">
        <v>17</v>
      </c>
      <c r="U26" s="714">
        <f>H26</f>
        <v>100</v>
      </c>
      <c r="V26" s="713" t="s">
        <v>17</v>
      </c>
      <c r="W26" s="714">
        <f>J26</f>
        <v>100</v>
      </c>
      <c r="X26" s="1508"/>
      <c r="Y26" s="3361"/>
      <c r="Z26" s="1509" t="str">
        <f>Q26</f>
        <v>平面位置/可视性</v>
      </c>
      <c r="AA26" s="1506">
        <f t="shared" si="3"/>
        <v>1</v>
      </c>
      <c r="AB26" s="1506">
        <f t="shared" si="4"/>
        <v>1</v>
      </c>
      <c r="AC26" s="1506">
        <f t="shared" si="5"/>
        <v>1</v>
      </c>
    </row>
    <row r="27" spans="1:29" s="113" customFormat="1" ht="15">
      <c r="A27" s="389"/>
      <c r="B27" s="409" t="s">
        <v>2419</v>
      </c>
      <c r="C27" s="2111"/>
      <c r="D27" s="420">
        <v>100</v>
      </c>
      <c r="E27" s="2111"/>
      <c r="F27" s="422">
        <f>SUMIF(90:90,E27,91:91)-SUMIF(90:90,C27,91:91)+100</f>
        <v>100</v>
      </c>
      <c r="G27" s="2111"/>
      <c r="H27" s="420">
        <f>SUMIF(90:90,G27,91:91)-SUMIF(90:90,C27,91:91)+100</f>
        <v>100</v>
      </c>
      <c r="I27" s="2111"/>
      <c r="J27" s="420">
        <f>SUMIF(90:90,I27,91:91)-SUMIF(90:90,C27,91:91)+100</f>
        <v>100</v>
      </c>
      <c r="K27" s="568"/>
      <c r="L27" s="2915"/>
      <c r="M27" s="2916"/>
      <c r="N27" s="2916"/>
      <c r="O27" s="2916"/>
      <c r="P27" s="3530"/>
      <c r="Q27" s="1496" t="str">
        <f t="shared" si="11"/>
        <v>人流量</v>
      </c>
      <c r="R27" s="709" t="s">
        <v>17</v>
      </c>
      <c r="S27" s="710">
        <f>F27</f>
        <v>100</v>
      </c>
      <c r="T27" s="709" t="s">
        <v>17</v>
      </c>
      <c r="U27" s="710">
        <f>H27</f>
        <v>100</v>
      </c>
      <c r="V27" s="709" t="s">
        <v>17</v>
      </c>
      <c r="W27" s="710">
        <f>J27</f>
        <v>100</v>
      </c>
      <c r="X27" s="711"/>
      <c r="Y27" s="3361"/>
      <c r="Z27" s="55" t="str">
        <f>Q27</f>
        <v>人流量</v>
      </c>
      <c r="AA27" s="1506">
        <f>D27/F27</f>
        <v>1</v>
      </c>
      <c r="AB27" s="1506">
        <f>D27/H27</f>
        <v>1</v>
      </c>
      <c r="AC27" s="1506">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20"/>
      <c r="M28" s="2914"/>
      <c r="N28" s="2914"/>
      <c r="O28" s="2914"/>
      <c r="P28" s="3530"/>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361"/>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20"/>
      <c r="M29" s="2914"/>
      <c r="N29" s="2914"/>
      <c r="O29" s="2914"/>
      <c r="P29" s="3530"/>
      <c r="Q29" s="1505">
        <f t="shared" si="11"/>
        <v>111</v>
      </c>
      <c r="R29" s="713" t="s">
        <v>17</v>
      </c>
      <c r="S29" s="714">
        <f t="shared" si="12"/>
        <v>100</v>
      </c>
      <c r="T29" s="713" t="s">
        <v>17</v>
      </c>
      <c r="U29" s="714">
        <f t="shared" si="13"/>
        <v>100</v>
      </c>
      <c r="V29" s="713" t="s">
        <v>17</v>
      </c>
      <c r="W29" s="714">
        <f t="shared" si="14"/>
        <v>100</v>
      </c>
      <c r="X29" s="1508"/>
      <c r="Y29" s="3361"/>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361"/>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361"/>
      <c r="Z31" s="1509">
        <f t="shared" si="15"/>
        <v>111</v>
      </c>
      <c r="AA31" s="1506">
        <f t="shared" si="3"/>
        <v>1</v>
      </c>
      <c r="AB31" s="1506">
        <f t="shared" si="4"/>
        <v>1</v>
      </c>
      <c r="AC31" s="1506">
        <f t="shared" si="5"/>
        <v>1</v>
      </c>
    </row>
    <row r="32" spans="1:29" ht="15">
      <c r="A32" s="398" t="s">
        <v>2324</v>
      </c>
      <c r="B32" s="67" t="s">
        <v>2421</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20"/>
      <c r="M32" s="2914"/>
      <c r="N32" s="2914"/>
      <c r="O32" s="2914"/>
      <c r="P32" s="3525" t="s">
        <v>2326</v>
      </c>
      <c r="Q32" s="1505" t="str">
        <f t="shared" si="11"/>
        <v>商业类型</v>
      </c>
      <c r="R32" s="713" t="s">
        <v>17</v>
      </c>
      <c r="S32" s="714">
        <f t="shared" si="12"/>
        <v>100</v>
      </c>
      <c r="T32" s="713" t="s">
        <v>17</v>
      </c>
      <c r="U32" s="714">
        <f t="shared" si="13"/>
        <v>100</v>
      </c>
      <c r="V32" s="713" t="s">
        <v>17</v>
      </c>
      <c r="W32" s="714">
        <f t="shared" si="14"/>
        <v>100</v>
      </c>
      <c r="X32" s="1508"/>
      <c r="Y32" s="3363" t="s">
        <v>2326</v>
      </c>
      <c r="Z32" s="1509" t="str">
        <f t="shared" si="15"/>
        <v>商业类型</v>
      </c>
      <c r="AA32" s="1506">
        <f t="shared" si="3"/>
        <v>1</v>
      </c>
      <c r="AB32" s="1506">
        <f t="shared" si="4"/>
        <v>1</v>
      </c>
      <c r="AC32" s="1506">
        <f t="shared" si="5"/>
        <v>1</v>
      </c>
    </row>
    <row r="33" spans="1:29" s="429" customFormat="1" ht="15">
      <c r="A33" s="426"/>
      <c r="B33" s="380" t="s">
        <v>2327</v>
      </c>
      <c r="C33" s="427"/>
      <c r="D33" s="132">
        <v>100</v>
      </c>
      <c r="E33" s="388"/>
      <c r="F33" s="383" t="e">
        <f>LOOKUP(E33,103:103,104:104)-LOOKUP(C33,103:103,104:104)+100</f>
        <v>#N/A</v>
      </c>
      <c r="G33" s="387"/>
      <c r="H33" s="132" t="e">
        <f>LOOKUP(G33,103:103,104:104)-LOOKUP(C33,103:103,104:104)+100</f>
        <v>#N/A</v>
      </c>
      <c r="I33" s="387"/>
      <c r="J33" s="132" t="e">
        <f>LOOKUP(I33,103:103,104:104)-LOOKUP(C33,103:103,104:104)+100</f>
        <v>#N/A</v>
      </c>
      <c r="K33" s="569"/>
      <c r="L33" s="2919"/>
      <c r="M33" s="2921"/>
      <c r="N33" s="2921"/>
      <c r="O33" s="2921"/>
      <c r="P33" s="3526"/>
      <c r="Q33" s="715" t="str">
        <f t="shared" si="11"/>
        <v>项目建筑规模</v>
      </c>
      <c r="R33" s="716" t="s">
        <v>17</v>
      </c>
      <c r="S33" s="717" t="e">
        <f t="shared" si="12"/>
        <v>#N/A</v>
      </c>
      <c r="T33" s="716" t="s">
        <v>17</v>
      </c>
      <c r="U33" s="717" t="e">
        <f t="shared" si="13"/>
        <v>#N/A</v>
      </c>
      <c r="V33" s="716" t="s">
        <v>17</v>
      </c>
      <c r="W33" s="717" t="e">
        <f t="shared" si="14"/>
        <v>#N/A</v>
      </c>
      <c r="X33" s="718"/>
      <c r="Y33" s="3363"/>
      <c r="Z33" s="719" t="str">
        <f t="shared" si="15"/>
        <v>项目建筑规模</v>
      </c>
      <c r="AA33" s="1506" t="e">
        <f t="shared" si="3"/>
        <v>#N/A</v>
      </c>
      <c r="AB33" s="1506" t="e">
        <f t="shared" si="4"/>
        <v>#N/A</v>
      </c>
      <c r="AC33" s="1506" t="e">
        <f t="shared" si="5"/>
        <v>#N/A</v>
      </c>
    </row>
    <row r="34" spans="1:29" ht="15">
      <c r="A34" s="430"/>
      <c r="B34" s="380" t="s">
        <v>2328</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20"/>
      <c r="M34" s="2914"/>
      <c r="N34" s="2914"/>
      <c r="O34" s="2914"/>
      <c r="P34" s="3526"/>
      <c r="Q34" s="1505" t="str">
        <f t="shared" si="11"/>
        <v>建筑结构</v>
      </c>
      <c r="R34" s="713" t="s">
        <v>17</v>
      </c>
      <c r="S34" s="714">
        <f t="shared" si="12"/>
        <v>100</v>
      </c>
      <c r="T34" s="713" t="s">
        <v>17</v>
      </c>
      <c r="U34" s="714">
        <f t="shared" si="13"/>
        <v>100</v>
      </c>
      <c r="V34" s="713" t="s">
        <v>17</v>
      </c>
      <c r="W34" s="714">
        <f t="shared" si="14"/>
        <v>100</v>
      </c>
      <c r="X34" s="1508"/>
      <c r="Y34" s="3363"/>
      <c r="Z34" s="1509" t="str">
        <f t="shared" si="15"/>
        <v>建筑结构</v>
      </c>
      <c r="AA34" s="1506">
        <f t="shared" si="3"/>
        <v>1</v>
      </c>
      <c r="AB34" s="1506">
        <f t="shared" si="4"/>
        <v>1</v>
      </c>
      <c r="AC34" s="1506">
        <f t="shared" si="5"/>
        <v>1</v>
      </c>
    </row>
    <row r="35" spans="1:29" ht="15">
      <c r="A35" s="430"/>
      <c r="B35" s="380" t="s">
        <v>2422</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20"/>
      <c r="M35" s="2914"/>
      <c r="N35" s="2914"/>
      <c r="O35" s="2914"/>
      <c r="P35" s="3526"/>
      <c r="Q35" s="1505" t="str">
        <f t="shared" si="11"/>
        <v>公共部分装修</v>
      </c>
      <c r="R35" s="713" t="s">
        <v>17</v>
      </c>
      <c r="S35" s="714">
        <f t="shared" si="12"/>
        <v>100</v>
      </c>
      <c r="T35" s="713" t="s">
        <v>17</v>
      </c>
      <c r="U35" s="714">
        <f t="shared" si="13"/>
        <v>100</v>
      </c>
      <c r="V35" s="713" t="s">
        <v>17</v>
      </c>
      <c r="W35" s="714">
        <f t="shared" si="14"/>
        <v>100</v>
      </c>
      <c r="X35" s="1508"/>
      <c r="Y35" s="3363"/>
      <c r="Z35" s="1509" t="str">
        <f t="shared" si="15"/>
        <v>公共部分装修</v>
      </c>
      <c r="AA35" s="1506">
        <f t="shared" si="3"/>
        <v>1</v>
      </c>
      <c r="AB35" s="1506">
        <f t="shared" si="4"/>
        <v>1</v>
      </c>
      <c r="AC35" s="1506">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20"/>
      <c r="M36" s="2914"/>
      <c r="N36" s="2914"/>
      <c r="O36" s="2914"/>
      <c r="P36" s="3526"/>
      <c r="Q36" s="1505" t="str">
        <f t="shared" si="11"/>
        <v>成新度</v>
      </c>
      <c r="R36" s="713" t="s">
        <v>17</v>
      </c>
      <c r="S36" s="714" t="e">
        <f t="shared" si="12"/>
        <v>#N/A</v>
      </c>
      <c r="T36" s="713" t="s">
        <v>17</v>
      </c>
      <c r="U36" s="714" t="e">
        <f t="shared" si="13"/>
        <v>#N/A</v>
      </c>
      <c r="V36" s="713" t="s">
        <v>17</v>
      </c>
      <c r="W36" s="714" t="e">
        <f t="shared" si="14"/>
        <v>#N/A</v>
      </c>
      <c r="X36" s="1508"/>
      <c r="Y36" s="3363"/>
      <c r="Z36" s="1509" t="str">
        <f t="shared" si="15"/>
        <v>成新度</v>
      </c>
      <c r="AA36" s="1506" t="e">
        <f t="shared" si="3"/>
        <v>#N/A</v>
      </c>
      <c r="AB36" s="1506" t="e">
        <f t="shared" si="4"/>
        <v>#N/A</v>
      </c>
      <c r="AC36" s="1506" t="e">
        <f t="shared" si="5"/>
        <v>#N/A</v>
      </c>
    </row>
    <row r="37" spans="1:29" s="113" customFormat="1" ht="15">
      <c r="A37" s="431"/>
      <c r="B37" s="380" t="s">
        <v>2424</v>
      </c>
      <c r="C37" s="2061"/>
      <c r="D37" s="132">
        <v>100</v>
      </c>
      <c r="E37" s="2061"/>
      <c r="F37" s="419">
        <f>SUMIF(112:112,E37,113:113)-SUMIF(112:112,C37,113:113)+100</f>
        <v>100</v>
      </c>
      <c r="G37" s="2061"/>
      <c r="H37" s="393">
        <f>SUMIF(112:112,G37,113:113)-SUMIF(112:112,C37,113:113)+100</f>
        <v>100</v>
      </c>
      <c r="I37" s="2061"/>
      <c r="J37" s="393">
        <f>SUMIF(112:112,I37,113:113)-SUMIF(112:112,C37,113:113)+100</f>
        <v>100</v>
      </c>
      <c r="K37" s="568"/>
      <c r="L37" s="2915"/>
      <c r="M37" s="2916"/>
      <c r="N37" s="2916"/>
      <c r="O37" s="2916"/>
      <c r="P37" s="3526"/>
      <c r="Q37" s="1496" t="str">
        <f t="shared" si="11"/>
        <v>市政基础设施</v>
      </c>
      <c r="R37" s="709" t="s">
        <v>17</v>
      </c>
      <c r="S37" s="710">
        <f t="shared" si="12"/>
        <v>100</v>
      </c>
      <c r="T37" s="709" t="s">
        <v>17</v>
      </c>
      <c r="U37" s="710">
        <f t="shared" si="13"/>
        <v>100</v>
      </c>
      <c r="V37" s="709" t="s">
        <v>17</v>
      </c>
      <c r="W37" s="710">
        <f t="shared" si="14"/>
        <v>100</v>
      </c>
      <c r="X37" s="711"/>
      <c r="Y37" s="3363"/>
      <c r="Z37" s="55" t="str">
        <f t="shared" si="15"/>
        <v>市政基础设施</v>
      </c>
      <c r="AA37" s="712">
        <f t="shared" si="3"/>
        <v>1</v>
      </c>
      <c r="AB37" s="712">
        <f t="shared" si="4"/>
        <v>1</v>
      </c>
      <c r="AC37" s="712">
        <f t="shared" si="5"/>
        <v>1</v>
      </c>
    </row>
    <row r="38" spans="1:29" ht="15">
      <c r="A38" s="430"/>
      <c r="B38" s="380" t="s">
        <v>2425</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20"/>
      <c r="M38" s="2914"/>
      <c r="N38" s="2914"/>
      <c r="O38" s="2914"/>
      <c r="P38" s="3526" t="s">
        <v>2326</v>
      </c>
      <c r="Q38" s="1505" t="str">
        <f t="shared" si="11"/>
        <v>业态</v>
      </c>
      <c r="R38" s="713" t="s">
        <v>17</v>
      </c>
      <c r="S38" s="714">
        <f t="shared" si="12"/>
        <v>100</v>
      </c>
      <c r="T38" s="713" t="s">
        <v>17</v>
      </c>
      <c r="U38" s="714">
        <f t="shared" si="13"/>
        <v>100</v>
      </c>
      <c r="V38" s="713" t="s">
        <v>17</v>
      </c>
      <c r="W38" s="714">
        <f t="shared" si="14"/>
        <v>100</v>
      </c>
      <c r="X38" s="1508"/>
      <c r="Y38" s="3363" t="s">
        <v>2326</v>
      </c>
      <c r="Z38" s="1509" t="str">
        <f t="shared" si="15"/>
        <v>业态</v>
      </c>
      <c r="AA38" s="1506">
        <f t="shared" si="3"/>
        <v>1</v>
      </c>
      <c r="AB38" s="1506">
        <f t="shared" si="4"/>
        <v>1</v>
      </c>
      <c r="AC38" s="1506">
        <f t="shared" si="5"/>
        <v>1</v>
      </c>
    </row>
    <row r="39" spans="1:29" ht="15">
      <c r="A39" s="430"/>
      <c r="B39" s="380" t="s">
        <v>2426</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20"/>
      <c r="M39" s="2914"/>
      <c r="N39" s="2914"/>
      <c r="O39" s="2914"/>
      <c r="P39" s="3526"/>
      <c r="Q39" s="1505" t="str">
        <f t="shared" si="11"/>
        <v>层高</v>
      </c>
      <c r="R39" s="713" t="s">
        <v>17</v>
      </c>
      <c r="S39" s="714">
        <f t="shared" si="12"/>
        <v>100</v>
      </c>
      <c r="T39" s="713" t="s">
        <v>17</v>
      </c>
      <c r="U39" s="714">
        <f t="shared" si="13"/>
        <v>100</v>
      </c>
      <c r="V39" s="713" t="s">
        <v>17</v>
      </c>
      <c r="W39" s="714">
        <f t="shared" si="14"/>
        <v>100</v>
      </c>
      <c r="X39" s="1508"/>
      <c r="Y39" s="3363"/>
      <c r="Z39" s="1509" t="str">
        <f t="shared" si="15"/>
        <v>层高</v>
      </c>
      <c r="AA39" s="1506">
        <f t="shared" si="3"/>
        <v>1</v>
      </c>
      <c r="AB39" s="1506">
        <f t="shared" si="4"/>
        <v>1</v>
      </c>
      <c r="AC39" s="1506">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20"/>
      <c r="M40" s="2914"/>
      <c r="N40" s="2914"/>
      <c r="O40" s="2914"/>
      <c r="P40" s="3526"/>
      <c r="Q40" s="1505" t="str">
        <f t="shared" si="11"/>
        <v>单套建筑面积</v>
      </c>
      <c r="R40" s="713" t="s">
        <v>17</v>
      </c>
      <c r="S40" s="714">
        <f t="shared" si="12"/>
        <v>100</v>
      </c>
      <c r="T40" s="713" t="s">
        <v>17</v>
      </c>
      <c r="U40" s="714">
        <f t="shared" si="13"/>
        <v>100</v>
      </c>
      <c r="V40" s="713" t="s">
        <v>17</v>
      </c>
      <c r="W40" s="714">
        <f t="shared" si="14"/>
        <v>100</v>
      </c>
      <c r="X40" s="1508"/>
      <c r="Y40" s="3363"/>
      <c r="Z40" s="1509" t="str">
        <f t="shared" si="15"/>
        <v>单套建筑面积</v>
      </c>
      <c r="AA40" s="1506">
        <f t="shared" si="3"/>
        <v>1</v>
      </c>
      <c r="AB40" s="1506">
        <f t="shared" si="4"/>
        <v>1</v>
      </c>
      <c r="AC40" s="1506">
        <f t="shared" si="5"/>
        <v>1</v>
      </c>
    </row>
    <row r="41" spans="1:29" s="429" customFormat="1" ht="15">
      <c r="A41" s="426"/>
      <c r="B41" s="1507"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9"/>
      <c r="M41" s="2921"/>
      <c r="N41" s="2921"/>
      <c r="O41" s="2921"/>
      <c r="P41" s="3526"/>
      <c r="Q41" s="715" t="str">
        <f t="shared" si="11"/>
        <v>进深比</v>
      </c>
      <c r="R41" s="716" t="s">
        <v>17</v>
      </c>
      <c r="S41" s="717">
        <f t="shared" si="12"/>
        <v>100</v>
      </c>
      <c r="T41" s="716" t="s">
        <v>17</v>
      </c>
      <c r="U41" s="717">
        <f t="shared" si="13"/>
        <v>100</v>
      </c>
      <c r="V41" s="716" t="s">
        <v>17</v>
      </c>
      <c r="W41" s="717">
        <f t="shared" si="14"/>
        <v>100</v>
      </c>
      <c r="X41" s="718"/>
      <c r="Y41" s="3363"/>
      <c r="Z41" s="719" t="str">
        <f t="shared" si="15"/>
        <v>进深比</v>
      </c>
      <c r="AA41" s="1506">
        <f t="shared" si="3"/>
        <v>1</v>
      </c>
      <c r="AB41" s="1506">
        <f t="shared" si="4"/>
        <v>1</v>
      </c>
      <c r="AC41" s="1506">
        <f t="shared" si="5"/>
        <v>1</v>
      </c>
    </row>
    <row r="42" spans="1:29" ht="15">
      <c r="A42" s="430"/>
      <c r="B42" s="380" t="s">
        <v>2429</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20"/>
      <c r="M42" s="2914"/>
      <c r="N42" s="2914"/>
      <c r="O42" s="2914"/>
      <c r="P42" s="3526"/>
      <c r="Q42" s="1505" t="str">
        <f t="shared" si="11"/>
        <v>内部装修</v>
      </c>
      <c r="R42" s="713" t="s">
        <v>17</v>
      </c>
      <c r="S42" s="714">
        <f t="shared" si="12"/>
        <v>100</v>
      </c>
      <c r="T42" s="713" t="s">
        <v>17</v>
      </c>
      <c r="U42" s="714">
        <f t="shared" si="13"/>
        <v>100</v>
      </c>
      <c r="V42" s="713" t="s">
        <v>17</v>
      </c>
      <c r="W42" s="714">
        <f t="shared" si="14"/>
        <v>100</v>
      </c>
      <c r="X42" s="1508"/>
      <c r="Y42" s="3363"/>
      <c r="Z42" s="1509" t="str">
        <f t="shared" si="15"/>
        <v>内部装修</v>
      </c>
      <c r="AA42" s="1506">
        <f t="shared" si="3"/>
        <v>1</v>
      </c>
      <c r="AB42" s="1506">
        <f t="shared" si="4"/>
        <v>1</v>
      </c>
      <c r="AC42" s="1506">
        <f t="shared" si="5"/>
        <v>1</v>
      </c>
    </row>
    <row r="43" spans="1:29" ht="15">
      <c r="A43" s="430"/>
      <c r="B43" s="380" t="s">
        <v>2337</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20"/>
      <c r="M43" s="2914"/>
      <c r="N43" s="2914"/>
      <c r="O43" s="2914"/>
      <c r="P43" s="3526"/>
      <c r="Q43" s="1505" t="str">
        <f t="shared" si="11"/>
        <v>内部装修维护情况</v>
      </c>
      <c r="R43" s="713" t="s">
        <v>17</v>
      </c>
      <c r="S43" s="714">
        <f t="shared" si="12"/>
        <v>100</v>
      </c>
      <c r="T43" s="713" t="s">
        <v>17</v>
      </c>
      <c r="U43" s="714">
        <f t="shared" si="13"/>
        <v>100</v>
      </c>
      <c r="V43" s="713" t="s">
        <v>17</v>
      </c>
      <c r="W43" s="714">
        <f t="shared" si="14"/>
        <v>100</v>
      </c>
      <c r="X43" s="1508"/>
      <c r="Y43" s="3363"/>
      <c r="Z43" s="1509" t="str">
        <f t="shared" si="15"/>
        <v>内部装修维护情况</v>
      </c>
      <c r="AA43" s="1506">
        <f t="shared" si="3"/>
        <v>1</v>
      </c>
      <c r="AB43" s="1506">
        <f t="shared" si="4"/>
        <v>1</v>
      </c>
      <c r="AC43" s="1506">
        <f t="shared" si="5"/>
        <v>1</v>
      </c>
    </row>
    <row r="44" spans="1:29" s="113" customFormat="1" ht="15">
      <c r="A44" s="431"/>
      <c r="B44" s="1266">
        <v>111</v>
      </c>
      <c r="C44" s="427"/>
      <c r="D44" s="132">
        <v>100</v>
      </c>
      <c r="E44" s="392"/>
      <c r="F44" s="383">
        <f>SUMIF(126:126,E44,127:127)-SUMIF(126:126,C44,127:127)+100</f>
        <v>100</v>
      </c>
      <c r="G44" s="392"/>
      <c r="H44" s="132">
        <f>SUMIF(126:126,G44,127:127)-SUMIF(126:126,C44,127:127)+100</f>
        <v>100</v>
      </c>
      <c r="I44" s="392"/>
      <c r="J44" s="132">
        <f>SUMIF(126:126,I44,127:127)-SUMIF(126:126,C44,127:127)+100</f>
        <v>100</v>
      </c>
      <c r="K44" s="569"/>
      <c r="L44" s="2915"/>
      <c r="M44" s="2916"/>
      <c r="N44" s="2916"/>
      <c r="O44" s="2916"/>
      <c r="P44" s="3526"/>
      <c r="Q44" s="1496">
        <f t="shared" si="11"/>
        <v>111</v>
      </c>
      <c r="R44" s="709" t="s">
        <v>17</v>
      </c>
      <c r="S44" s="710">
        <f t="shared" si="12"/>
        <v>100</v>
      </c>
      <c r="T44" s="709" t="s">
        <v>17</v>
      </c>
      <c r="U44" s="710">
        <f t="shared" si="13"/>
        <v>100</v>
      </c>
      <c r="V44" s="709" t="s">
        <v>17</v>
      </c>
      <c r="W44" s="710">
        <f t="shared" si="14"/>
        <v>100</v>
      </c>
      <c r="X44" s="711"/>
      <c r="Y44" s="3363"/>
      <c r="Z44" s="55">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20"/>
      <c r="M45" s="2914"/>
      <c r="N45" s="2914"/>
      <c r="O45" s="2914"/>
      <c r="P45" s="3526"/>
      <c r="Q45" s="1505">
        <f t="shared" si="11"/>
        <v>111</v>
      </c>
      <c r="R45" s="713" t="s">
        <v>17</v>
      </c>
      <c r="S45" s="714">
        <f t="shared" si="12"/>
        <v>100</v>
      </c>
      <c r="T45" s="713" t="s">
        <v>17</v>
      </c>
      <c r="U45" s="714">
        <f t="shared" si="13"/>
        <v>100</v>
      </c>
      <c r="V45" s="713" t="s">
        <v>17</v>
      </c>
      <c r="W45" s="714">
        <f t="shared" si="14"/>
        <v>100</v>
      </c>
      <c r="X45" s="1508"/>
      <c r="Y45" s="3363"/>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20"/>
      <c r="M46" s="2914"/>
      <c r="N46" s="2914"/>
      <c r="O46" s="2914"/>
      <c r="P46" s="3527"/>
      <c r="Q46" s="1505">
        <f t="shared" si="11"/>
        <v>111</v>
      </c>
      <c r="R46" s="713" t="s">
        <v>17</v>
      </c>
      <c r="S46" s="714">
        <f t="shared" si="12"/>
        <v>100</v>
      </c>
      <c r="T46" s="713" t="s">
        <v>17</v>
      </c>
      <c r="U46" s="714">
        <f t="shared" si="13"/>
        <v>100</v>
      </c>
      <c r="V46" s="713" t="s">
        <v>17</v>
      </c>
      <c r="W46" s="714">
        <f t="shared" si="14"/>
        <v>100</v>
      </c>
      <c r="X46" s="1508"/>
      <c r="Y46" s="3528"/>
      <c r="Z46" s="1509">
        <f t="shared" si="15"/>
        <v>111</v>
      </c>
      <c r="AA46" s="1506">
        <f t="shared" si="3"/>
        <v>1</v>
      </c>
      <c r="AB46" s="1506">
        <f t="shared" si="4"/>
        <v>1</v>
      </c>
      <c r="AC46" s="1506">
        <f t="shared" si="5"/>
        <v>1</v>
      </c>
    </row>
    <row r="47" spans="1:29" ht="15">
      <c r="A47" s="437" t="s">
        <v>2338</v>
      </c>
      <c r="B47" s="438"/>
      <c r="C47" s="1287" t="s">
        <v>1</v>
      </c>
      <c r="D47" s="1288"/>
      <c r="E47" s="1289"/>
      <c r="F47" s="1290"/>
      <c r="G47" s="1291"/>
      <c r="H47" s="1292"/>
      <c r="I47" s="1289"/>
      <c r="J47" s="1292"/>
      <c r="K47" s="722"/>
      <c r="L47" s="2922"/>
      <c r="M47" s="2923"/>
      <c r="N47" s="2914"/>
      <c r="O47" s="2923"/>
      <c r="P47" s="3355" t="str">
        <f>A47</f>
        <v>成交单价（元/平方米）</v>
      </c>
      <c r="Q47" s="3355"/>
      <c r="R47" s="3384">
        <f>E47</f>
        <v>0</v>
      </c>
      <c r="S47" s="3384"/>
      <c r="T47" s="3384">
        <f>G47</f>
        <v>0</v>
      </c>
      <c r="U47" s="3384"/>
      <c r="V47" s="3384">
        <f>I47</f>
        <v>0</v>
      </c>
      <c r="W47" s="3384"/>
      <c r="X47" s="698"/>
      <c r="Y47" s="720"/>
      <c r="Z47" s="698"/>
      <c r="AA47" s="698"/>
      <c r="AB47" s="698"/>
      <c r="AC47" s="698"/>
    </row>
    <row r="48" spans="1:29" ht="15.75" thickBot="1">
      <c r="A48" s="444" t="s">
        <v>2430</v>
      </c>
      <c r="B48" s="445"/>
      <c r="C48" s="1293" t="e">
        <f>R49</f>
        <v>#DIV/0!</v>
      </c>
      <c r="D48" s="2507" t="s">
        <v>2818</v>
      </c>
      <c r="E48" s="1294" t="e">
        <f>R48</f>
        <v>#DIV/0!</v>
      </c>
      <c r="F48" s="2508"/>
      <c r="G48" s="1293" t="e">
        <f>T48</f>
        <v>#DIV/0!</v>
      </c>
      <c r="H48" s="2508"/>
      <c r="I48" s="1294" t="e">
        <f>V48</f>
        <v>#DIV/0!</v>
      </c>
      <c r="J48" s="2508"/>
      <c r="K48" s="2510">
        <f>F48+H48+J48</f>
        <v>0</v>
      </c>
      <c r="L48" s="2922"/>
      <c r="M48" s="2923"/>
      <c r="N48" s="2914"/>
      <c r="O48" s="2923"/>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2"/>
      <c r="M49" s="2923"/>
      <c r="N49" s="2914"/>
      <c r="O49" s="2923"/>
      <c r="P49" s="3357" t="str">
        <f>A49</f>
        <v>估价对象XX用房的比较价值（楼面单价，元/平方米）</v>
      </c>
      <c r="Q49" s="3358"/>
      <c r="R49" s="3524" t="e">
        <f>IF(F1="售价",ROUND(IF(D48="简单平均",AVERAGE(R48:V48),R48*F48+T48*H48+V48*J48),0),ROUND(IF(D48="简单平均",AVERAGE(R48:V48),R48*F48+T48*H48+V48*J48),1))</f>
        <v>#DIV/0!</v>
      </c>
      <c r="S49" s="3524"/>
      <c r="T49" s="3524"/>
      <c r="U49" s="3524"/>
      <c r="V49" s="3524"/>
      <c r="W49" s="3524"/>
      <c r="X49" s="698"/>
      <c r="Y49" s="698"/>
      <c r="Z49" s="698"/>
      <c r="AA49" s="698"/>
      <c r="AB49" s="698"/>
      <c r="AC49" s="698"/>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8" customFormat="1" ht="13.5" customHeight="1">
      <c r="A54" s="2926"/>
      <c r="B54" s="2926"/>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8"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2" t="s">
        <v>2435</v>
      </c>
      <c r="B57" s="698"/>
      <c r="C57" s="703"/>
      <c r="D57" s="703"/>
      <c r="E57" s="703"/>
      <c r="F57" s="704"/>
      <c r="G57" s="704"/>
      <c r="H57" s="703"/>
      <c r="I57" s="703"/>
      <c r="J57" s="703"/>
      <c r="K57" s="705"/>
      <c r="L57" s="1072"/>
      <c r="M57" s="1070"/>
      <c r="N57" s="1070"/>
      <c r="O57" s="1070"/>
      <c r="P57" s="2936"/>
      <c r="Q57" s="2937"/>
      <c r="R57" s="2923"/>
      <c r="S57" s="2923"/>
      <c r="T57" s="2923"/>
      <c r="U57" s="2923"/>
      <c r="V57" s="2923"/>
      <c r="W57" s="2923"/>
      <c r="X57" s="2923"/>
      <c r="Y57" s="2923"/>
      <c r="Z57" s="2923"/>
      <c r="AA57" s="2923"/>
      <c r="AB57" s="2923"/>
      <c r="AC57" s="2923"/>
    </row>
    <row r="58" spans="1:29" s="464" customFormat="1" ht="15">
      <c r="A58" s="461" t="s">
        <v>2309</v>
      </c>
      <c r="B58" s="462"/>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5"/>
      <c r="B59" s="466"/>
      <c r="C59" s="1316">
        <v>100</v>
      </c>
      <c r="D59" s="468"/>
      <c r="E59" s="468"/>
      <c r="F59" s="468"/>
      <c r="G59" s="468"/>
      <c r="H59" s="468"/>
      <c r="I59" s="468"/>
      <c r="J59" s="468"/>
      <c r="K59" s="468"/>
      <c r="L59" s="468"/>
      <c r="M59" s="469"/>
      <c r="N59" s="468"/>
      <c r="O59" s="469"/>
      <c r="P59" s="2940"/>
      <c r="Q59" s="2857"/>
      <c r="R59" s="2857"/>
      <c r="S59" s="2857"/>
      <c r="T59" s="2857"/>
      <c r="U59" s="2857"/>
      <c r="V59" s="2857"/>
      <c r="W59" s="2857"/>
      <c r="X59" s="2857"/>
      <c r="Y59" s="2857"/>
      <c r="Z59" s="2857"/>
      <c r="AA59" s="2857"/>
      <c r="AB59" s="2857"/>
      <c r="AC59" s="2857"/>
    </row>
    <row r="60" spans="1:29" s="113" customFormat="1" ht="15.75" thickBot="1">
      <c r="A60" s="471" t="s">
        <v>2346</v>
      </c>
      <c r="B60" s="472"/>
      <c r="C60" s="473"/>
      <c r="D60" s="474"/>
      <c r="E60" s="474"/>
      <c r="F60" s="474"/>
      <c r="G60" s="474"/>
      <c r="H60" s="474"/>
      <c r="I60" s="474"/>
      <c r="J60" s="474"/>
      <c r="K60" s="474"/>
      <c r="L60" s="474"/>
      <c r="M60" s="475"/>
      <c r="N60" s="474"/>
      <c r="O60" s="475"/>
      <c r="P60" s="2940"/>
      <c r="Q60" s="2937"/>
      <c r="R60" s="2857"/>
      <c r="S60" s="2857"/>
      <c r="T60" s="2857"/>
      <c r="U60" s="2857"/>
      <c r="V60" s="2857"/>
      <c r="W60" s="2857"/>
      <c r="X60" s="2857"/>
      <c r="Y60" s="2857"/>
      <c r="Z60" s="2857"/>
      <c r="AA60" s="2857"/>
      <c r="AB60" s="2857"/>
      <c r="AC60" s="2857"/>
    </row>
    <row r="61" spans="1:29" s="113" customFormat="1" ht="15">
      <c r="A61" s="477" t="s">
        <v>2311</v>
      </c>
      <c r="B61" s="466"/>
      <c r="C61" s="478" t="s">
        <v>2413</v>
      </c>
      <c r="D61" s="479"/>
      <c r="E61" s="479"/>
      <c r="F61" s="479"/>
      <c r="G61" s="479"/>
      <c r="H61" s="479"/>
      <c r="I61" s="479"/>
      <c r="J61" s="479"/>
      <c r="K61" s="479"/>
      <c r="L61" s="480"/>
      <c r="M61" s="481"/>
      <c r="N61" s="2950"/>
      <c r="O61" s="2950"/>
      <c r="P61" s="2941"/>
      <c r="Q61" s="2937"/>
      <c r="R61" s="2857"/>
      <c r="S61" s="2857"/>
      <c r="T61" s="2857"/>
      <c r="U61" s="2857"/>
      <c r="V61" s="2857"/>
      <c r="W61" s="2857"/>
      <c r="X61" s="2857"/>
      <c r="Y61" s="2857"/>
      <c r="Z61" s="2857"/>
      <c r="AA61" s="2857"/>
      <c r="AB61" s="2857"/>
      <c r="AC61" s="2857"/>
    </row>
    <row r="62" spans="1:29" s="113" customFormat="1" ht="15.75" thickBot="1">
      <c r="A62" s="477"/>
      <c r="B62" s="466"/>
      <c r="C62" s="467">
        <v>100</v>
      </c>
      <c r="D62" s="468"/>
      <c r="E62" s="468"/>
      <c r="F62" s="468"/>
      <c r="G62" s="468"/>
      <c r="H62" s="468"/>
      <c r="I62" s="468"/>
      <c r="J62" s="468"/>
      <c r="K62" s="468"/>
      <c r="L62" s="468"/>
      <c r="M62" s="470"/>
      <c r="N62" s="2950"/>
      <c r="O62" s="2950"/>
      <c r="P62" s="2940"/>
      <c r="Q62" s="2937"/>
      <c r="R62" s="2857"/>
      <c r="S62" s="2857"/>
      <c r="T62" s="2857"/>
      <c r="U62" s="2857"/>
      <c r="V62" s="2857"/>
      <c r="W62" s="2857"/>
      <c r="X62" s="2857"/>
      <c r="Y62" s="2857"/>
      <c r="Z62" s="2857"/>
      <c r="AA62" s="2857"/>
      <c r="AB62" s="2857"/>
      <c r="AC62" s="2857"/>
    </row>
    <row r="63" spans="1:29">
      <c r="A63" s="483" t="s">
        <v>2349</v>
      </c>
      <c r="B63" s="484" t="s">
        <v>2315</v>
      </c>
      <c r="C63" s="485">
        <f>C9</f>
        <v>0</v>
      </c>
      <c r="D63" s="486"/>
      <c r="E63" s="486"/>
      <c r="F63" s="486"/>
      <c r="G63" s="486"/>
      <c r="H63" s="486"/>
      <c r="I63" s="486"/>
      <c r="J63" s="486"/>
      <c r="K63" s="487"/>
      <c r="L63" s="488"/>
      <c r="M63" s="489"/>
      <c r="N63" s="2951"/>
      <c r="O63" s="2951"/>
      <c r="P63" s="2942"/>
      <c r="Q63" s="2937"/>
      <c r="R63" s="2923"/>
      <c r="S63" s="2923"/>
      <c r="T63" s="2923"/>
      <c r="U63" s="2923"/>
      <c r="V63" s="2923"/>
      <c r="W63" s="2923"/>
      <c r="X63" s="2923"/>
      <c r="Y63" s="2923"/>
      <c r="Z63" s="2923"/>
      <c r="AA63" s="2923"/>
      <c r="AB63" s="2923"/>
      <c r="AC63" s="2923"/>
    </row>
    <row r="64" spans="1:29" ht="15.75" thickBot="1">
      <c r="A64" s="490"/>
      <c r="B64" s="491"/>
      <c r="C64" s="492">
        <v>100</v>
      </c>
      <c r="D64" s="492"/>
      <c r="E64" s="492"/>
      <c r="F64" s="492"/>
      <c r="G64" s="492"/>
      <c r="H64" s="492"/>
      <c r="I64" s="492"/>
      <c r="J64" s="492"/>
      <c r="K64" s="492"/>
      <c r="L64" s="492"/>
      <c r="M64" s="493"/>
      <c r="N64" s="2952"/>
      <c r="O64" s="2952"/>
      <c r="P64" s="2942"/>
      <c r="Q64" s="2937"/>
      <c r="R64" s="2923"/>
      <c r="S64" s="2923"/>
      <c r="T64" s="2923"/>
      <c r="U64" s="2923"/>
      <c r="V64" s="2923"/>
      <c r="W64" s="2923"/>
      <c r="X64" s="2923"/>
      <c r="Y64" s="2923"/>
      <c r="Z64" s="2923"/>
      <c r="AA64" s="2923"/>
      <c r="AB64" s="2923"/>
      <c r="AC64" s="2923"/>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1"/>
      <c r="O65" s="2951"/>
      <c r="P65" s="2942"/>
      <c r="Q65" s="2937"/>
      <c r="R65" s="2923"/>
      <c r="S65" s="2923"/>
      <c r="T65" s="2923"/>
      <c r="U65" s="2923"/>
      <c r="V65" s="2923"/>
      <c r="W65" s="2923"/>
      <c r="X65" s="2923"/>
      <c r="Y65" s="2923"/>
      <c r="Z65" s="2923"/>
      <c r="AA65" s="2923"/>
      <c r="AB65" s="2923"/>
      <c r="AC65" s="2923"/>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2"/>
      <c r="O66" s="2952"/>
      <c r="P66" s="2942"/>
      <c r="Q66" s="2937"/>
      <c r="R66" s="2923"/>
      <c r="S66" s="2923"/>
      <c r="T66" s="2923"/>
      <c r="U66" s="2923"/>
      <c r="V66" s="2923"/>
      <c r="W66" s="2923"/>
      <c r="X66" s="2923"/>
      <c r="Y66" s="2923"/>
      <c r="Z66" s="2923"/>
      <c r="AA66" s="2923"/>
      <c r="AB66" s="2923"/>
      <c r="AC66" s="2923"/>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0"/>
      <c r="B68" s="504"/>
      <c r="C68" s="505"/>
      <c r="D68" s="505"/>
      <c r="E68" s="505"/>
      <c r="F68" s="505"/>
      <c r="G68" s="505"/>
      <c r="H68" s="505"/>
      <c r="I68" s="505"/>
      <c r="J68" s="505"/>
      <c r="K68" s="506"/>
      <c r="L68" s="507"/>
      <c r="M68" s="508"/>
      <c r="N68" s="2951"/>
      <c r="O68" s="2951"/>
      <c r="P68" s="2942"/>
      <c r="Q68" s="2937"/>
      <c r="R68" s="2923"/>
      <c r="S68" s="2923"/>
      <c r="T68" s="2923"/>
      <c r="U68" s="2923"/>
      <c r="V68" s="2923"/>
      <c r="W68" s="2923"/>
      <c r="X68" s="2923"/>
      <c r="Y68" s="2923"/>
      <c r="Z68" s="2923"/>
      <c r="AA68" s="2923"/>
      <c r="AB68" s="2923"/>
      <c r="AC68" s="2923"/>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2"/>
      <c r="O69" s="2952"/>
      <c r="P69" s="2942"/>
      <c r="Q69" s="2937"/>
      <c r="R69" s="2923"/>
      <c r="S69" s="2923"/>
      <c r="T69" s="2923"/>
      <c r="U69" s="2923"/>
      <c r="V69" s="2923"/>
      <c r="W69" s="2923"/>
      <c r="X69" s="2923"/>
      <c r="Y69" s="2923"/>
      <c r="Z69" s="2923"/>
      <c r="AA69" s="2923"/>
      <c r="AB69" s="2923"/>
      <c r="AC69" s="2923"/>
    </row>
    <row r="70" spans="1:29" s="429" customFormat="1" ht="15.75" thickTop="1">
      <c r="A70" s="509"/>
      <c r="B70" s="494">
        <f>B12</f>
        <v>111</v>
      </c>
      <c r="C70" s="510"/>
      <c r="D70" s="510"/>
      <c r="E70" s="510"/>
      <c r="F70" s="510"/>
      <c r="G70" s="510"/>
      <c r="H70" s="511"/>
      <c r="I70" s="511"/>
      <c r="J70" s="511"/>
      <c r="K70" s="511"/>
      <c r="L70" s="512"/>
      <c r="M70" s="513"/>
      <c r="N70" s="2953"/>
      <c r="O70" s="2953"/>
      <c r="P70" s="2943"/>
      <c r="Q70" s="2944"/>
      <c r="R70" s="2945"/>
      <c r="S70" s="2945"/>
      <c r="T70" s="2945"/>
      <c r="U70" s="2945"/>
      <c r="V70" s="2945"/>
      <c r="W70" s="2945"/>
      <c r="X70" s="2945"/>
      <c r="Y70" s="2945"/>
      <c r="Z70" s="2945"/>
      <c r="AA70" s="2945"/>
      <c r="AB70" s="2945"/>
      <c r="AC70" s="2945"/>
    </row>
    <row r="71" spans="1:29" s="429" customFormat="1" ht="15.75" thickBot="1">
      <c r="A71" s="509"/>
      <c r="B71" s="499"/>
      <c r="C71" s="516"/>
      <c r="D71" s="492"/>
      <c r="E71" s="492"/>
      <c r="F71" s="492"/>
      <c r="G71" s="492"/>
      <c r="H71" s="492"/>
      <c r="I71" s="492"/>
      <c r="J71" s="492"/>
      <c r="K71" s="492"/>
      <c r="L71" s="492"/>
      <c r="M71" s="493"/>
      <c r="N71" s="2952"/>
      <c r="O71" s="2952"/>
      <c r="P71" s="2943"/>
      <c r="Q71" s="2944"/>
      <c r="R71" s="2945"/>
      <c r="S71" s="2945"/>
      <c r="T71" s="2945"/>
      <c r="U71" s="2945"/>
      <c r="V71" s="2945"/>
      <c r="W71" s="2945"/>
      <c r="X71" s="2945"/>
      <c r="Y71" s="2945"/>
      <c r="Z71" s="2945"/>
      <c r="AA71" s="2945"/>
      <c r="AB71" s="2945"/>
      <c r="AC71" s="2945"/>
    </row>
    <row r="72" spans="1:29" s="429" customFormat="1" ht="15.75" thickTop="1">
      <c r="A72" s="509"/>
      <c r="B72" s="494">
        <f>B13</f>
        <v>111</v>
      </c>
      <c r="C72" s="510"/>
      <c r="D72" s="510"/>
      <c r="E72" s="510"/>
      <c r="F72" s="510"/>
      <c r="G72" s="510"/>
      <c r="H72" s="511"/>
      <c r="I72" s="511"/>
      <c r="J72" s="511"/>
      <c r="K72" s="511"/>
      <c r="L72" s="512"/>
      <c r="M72" s="513"/>
      <c r="N72" s="2953"/>
      <c r="O72" s="2953"/>
      <c r="P72" s="2946"/>
      <c r="Q72" s="2947"/>
      <c r="R72" s="2945"/>
      <c r="S72" s="2945"/>
      <c r="T72" s="2945"/>
      <c r="U72" s="2945"/>
      <c r="V72" s="2945"/>
      <c r="W72" s="2945"/>
      <c r="X72" s="2945"/>
      <c r="Y72" s="2945"/>
      <c r="Z72" s="2945"/>
      <c r="AA72" s="2945"/>
      <c r="AB72" s="2945"/>
      <c r="AC72" s="2945"/>
    </row>
    <row r="73" spans="1:29" s="429" customFormat="1" ht="15.75" thickBot="1">
      <c r="A73" s="509"/>
      <c r="B73" s="499"/>
      <c r="C73" s="516"/>
      <c r="D73" s="492"/>
      <c r="E73" s="492"/>
      <c r="F73" s="492"/>
      <c r="G73" s="516"/>
      <c r="H73" s="518"/>
      <c r="I73" s="518"/>
      <c r="J73" s="518"/>
      <c r="K73" s="518"/>
      <c r="L73" s="518"/>
      <c r="M73" s="519"/>
      <c r="N73" s="2953"/>
      <c r="O73" s="2953"/>
      <c r="P73" s="2943"/>
      <c r="Q73" s="2944"/>
      <c r="R73" s="2945"/>
      <c r="S73" s="2945"/>
      <c r="T73" s="2945"/>
      <c r="U73" s="2945"/>
      <c r="V73" s="2945"/>
      <c r="W73" s="2945"/>
      <c r="X73" s="2945"/>
      <c r="Y73" s="2945"/>
      <c r="Z73" s="2945"/>
      <c r="AA73" s="2945"/>
      <c r="AB73" s="2945"/>
      <c r="AC73" s="2945"/>
    </row>
    <row r="74" spans="1:29" s="429" customFormat="1" ht="15.75" thickTop="1">
      <c r="A74" s="509"/>
      <c r="B74" s="502">
        <f>B14</f>
        <v>111</v>
      </c>
      <c r="C74" s="510"/>
      <c r="D74" s="510"/>
      <c r="E74" s="510"/>
      <c r="F74" s="510"/>
      <c r="G74" s="479"/>
      <c r="H74" s="520"/>
      <c r="I74" s="520"/>
      <c r="J74" s="520"/>
      <c r="K74" s="520"/>
      <c r="L74" s="521"/>
      <c r="M74" s="522"/>
      <c r="N74" s="2953"/>
      <c r="O74" s="2953"/>
      <c r="P74" s="2948"/>
      <c r="Q74" s="2944"/>
      <c r="R74" s="2945"/>
      <c r="S74" s="2945"/>
      <c r="T74" s="2945"/>
      <c r="U74" s="2945"/>
      <c r="V74" s="2945"/>
      <c r="W74" s="2945"/>
      <c r="X74" s="2945"/>
      <c r="Y74" s="2945"/>
      <c r="Z74" s="2945"/>
      <c r="AA74" s="2945"/>
      <c r="AB74" s="2945"/>
      <c r="AC74" s="2945"/>
    </row>
    <row r="75" spans="1:29" s="429" customFormat="1" ht="15.75" thickBot="1">
      <c r="A75" s="524"/>
      <c r="B75" s="525"/>
      <c r="C75" s="526"/>
      <c r="D75" s="526"/>
      <c r="E75" s="526"/>
      <c r="F75" s="526"/>
      <c r="G75" s="526"/>
      <c r="H75" s="527"/>
      <c r="I75" s="527"/>
      <c r="J75" s="527"/>
      <c r="K75" s="527"/>
      <c r="L75" s="527"/>
      <c r="M75" s="528"/>
      <c r="N75" s="2953"/>
      <c r="O75" s="2953"/>
      <c r="P75" s="2943"/>
      <c r="Q75" s="2944"/>
      <c r="R75" s="2945"/>
      <c r="S75" s="2945"/>
      <c r="T75" s="2945"/>
      <c r="U75" s="2945"/>
      <c r="V75" s="2945"/>
      <c r="W75" s="2945"/>
      <c r="X75" s="2945"/>
      <c r="Y75" s="2945"/>
      <c r="Z75" s="2945"/>
      <c r="AA75" s="2945"/>
      <c r="AB75" s="2945"/>
      <c r="AC75" s="2945"/>
    </row>
    <row r="76" spans="1:29">
      <c r="A76" s="483" t="s">
        <v>2320</v>
      </c>
      <c r="B76" s="484" t="s">
        <v>2357</v>
      </c>
      <c r="C76" s="529" t="s">
        <v>2358</v>
      </c>
      <c r="D76" s="529" t="s">
        <v>2359</v>
      </c>
      <c r="E76" s="529" t="s">
        <v>2360</v>
      </c>
      <c r="F76" s="529" t="s">
        <v>2361</v>
      </c>
      <c r="G76" s="529" t="s">
        <v>2362</v>
      </c>
      <c r="H76" s="485"/>
      <c r="I76" s="485"/>
      <c r="J76" s="485"/>
      <c r="K76" s="530"/>
      <c r="L76" s="531"/>
      <c r="M76" s="532"/>
      <c r="N76" s="2951"/>
      <c r="O76" s="2951"/>
      <c r="P76" s="2949"/>
      <c r="Q76" s="2937"/>
      <c r="R76" s="2923"/>
      <c r="S76" s="2923"/>
      <c r="T76" s="2923"/>
      <c r="U76" s="2923"/>
      <c r="V76" s="2923"/>
      <c r="W76" s="2923"/>
      <c r="X76" s="2923"/>
      <c r="Y76" s="2923"/>
      <c r="Z76" s="2923"/>
      <c r="AA76" s="2923"/>
      <c r="AB76" s="2923"/>
      <c r="AC76" s="2923"/>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2"/>
      <c r="O77" s="2952"/>
      <c r="P77" s="2942"/>
      <c r="Q77" s="2937"/>
      <c r="R77" s="2923"/>
      <c r="S77" s="2923"/>
      <c r="T77" s="2923"/>
      <c r="U77" s="2923"/>
      <c r="V77" s="2923"/>
      <c r="W77" s="2923"/>
      <c r="X77" s="2923"/>
      <c r="Y77" s="2923"/>
      <c r="Z77" s="2923"/>
      <c r="AA77" s="2923"/>
      <c r="AB77" s="2923"/>
      <c r="AC77" s="2923"/>
    </row>
    <row r="78" spans="1:29" ht="15.75" thickTop="1">
      <c r="A78" s="490"/>
      <c r="B78" s="494" t="s">
        <v>2363</v>
      </c>
      <c r="C78" s="534" t="s">
        <v>2358</v>
      </c>
      <c r="D78" s="534" t="s">
        <v>2359</v>
      </c>
      <c r="E78" s="534" t="s">
        <v>2360</v>
      </c>
      <c r="F78" s="534" t="s">
        <v>2361</v>
      </c>
      <c r="G78" s="534" t="s">
        <v>2362</v>
      </c>
      <c r="H78" s="495"/>
      <c r="I78" s="495"/>
      <c r="J78" s="495"/>
      <c r="K78" s="496"/>
      <c r="L78" s="497"/>
      <c r="M78" s="498"/>
      <c r="N78" s="2951"/>
      <c r="O78" s="2951"/>
      <c r="P78" s="2942"/>
      <c r="Q78" s="2937"/>
      <c r="R78" s="2923"/>
      <c r="S78" s="2923"/>
      <c r="T78" s="2923"/>
      <c r="U78" s="2923"/>
      <c r="V78" s="2923"/>
      <c r="W78" s="2923"/>
      <c r="X78" s="2923"/>
      <c r="Y78" s="2923"/>
      <c r="Z78" s="2923"/>
      <c r="AA78" s="2923"/>
      <c r="AB78" s="2923"/>
      <c r="AC78" s="2923"/>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2"/>
      <c r="O79" s="2952"/>
      <c r="P79" s="2942"/>
      <c r="Q79" s="2937"/>
      <c r="R79" s="2923"/>
      <c r="S79" s="2923"/>
      <c r="T79" s="2923"/>
      <c r="U79" s="2923"/>
      <c r="V79" s="2923"/>
      <c r="W79" s="2923"/>
      <c r="X79" s="2923"/>
      <c r="Y79" s="2923"/>
      <c r="Z79" s="2923"/>
      <c r="AA79" s="2923"/>
      <c r="AB79" s="2923"/>
      <c r="AC79" s="2923"/>
    </row>
    <row r="80" spans="1:29" ht="15.75" thickTop="1">
      <c r="A80" s="490"/>
      <c r="B80" s="494" t="s">
        <v>2364</v>
      </c>
      <c r="C80" s="534" t="s">
        <v>2358</v>
      </c>
      <c r="D80" s="534" t="s">
        <v>2359</v>
      </c>
      <c r="E80" s="534" t="s">
        <v>2360</v>
      </c>
      <c r="F80" s="534" t="s">
        <v>2361</v>
      </c>
      <c r="G80" s="534" t="s">
        <v>2362</v>
      </c>
      <c r="H80" s="495"/>
      <c r="I80" s="495"/>
      <c r="J80" s="495"/>
      <c r="K80" s="496"/>
      <c r="L80" s="497"/>
      <c r="M80" s="498"/>
      <c r="N80" s="2951"/>
      <c r="O80" s="2951"/>
      <c r="P80" s="2942"/>
      <c r="Q80" s="2937"/>
      <c r="R80" s="2923"/>
      <c r="S80" s="2923"/>
      <c r="T80" s="2923"/>
      <c r="U80" s="2923"/>
      <c r="V80" s="2923"/>
      <c r="W80" s="2923"/>
      <c r="X80" s="2923"/>
      <c r="Y80" s="2923"/>
      <c r="Z80" s="2923"/>
      <c r="AA80" s="2923"/>
      <c r="AB80" s="2923"/>
      <c r="AC80" s="2923"/>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2"/>
      <c r="O81" s="2952"/>
      <c r="P81" s="2942"/>
      <c r="Q81" s="2937"/>
      <c r="R81" s="2923"/>
      <c r="S81" s="2923"/>
      <c r="T81" s="2923"/>
      <c r="U81" s="2923"/>
      <c r="V81" s="2923"/>
      <c r="W81" s="2923"/>
      <c r="X81" s="2923"/>
      <c r="Y81" s="2923"/>
      <c r="Z81" s="2923"/>
      <c r="AA81" s="2923"/>
      <c r="AB81" s="2923"/>
      <c r="AC81" s="2923"/>
    </row>
    <row r="82" spans="1:29" ht="15.75" thickTop="1">
      <c r="A82" s="490"/>
      <c r="B82" s="502" t="s">
        <v>2416</v>
      </c>
      <c r="C82" s="615" t="s">
        <v>2436</v>
      </c>
      <c r="D82" s="615" t="s">
        <v>2437</v>
      </c>
      <c r="E82" s="615" t="s">
        <v>2438</v>
      </c>
      <c r="F82" s="615" t="s">
        <v>2439</v>
      </c>
      <c r="G82" s="615" t="s">
        <v>2440</v>
      </c>
      <c r="H82" s="495"/>
      <c r="I82" s="495"/>
      <c r="J82" s="495"/>
      <c r="K82" s="495"/>
      <c r="L82" s="495"/>
      <c r="M82" s="1262"/>
      <c r="N82" s="2952"/>
      <c r="O82" s="2952"/>
      <c r="P82" s="2942"/>
      <c r="Q82" s="2937"/>
      <c r="R82" s="2923"/>
      <c r="S82" s="2923"/>
      <c r="T82" s="2923"/>
      <c r="U82" s="2923"/>
      <c r="V82" s="2923"/>
      <c r="W82" s="2923"/>
      <c r="X82" s="2923"/>
      <c r="Y82" s="2923"/>
      <c r="Z82" s="2923"/>
      <c r="AA82" s="2923"/>
      <c r="AB82" s="2923"/>
      <c r="AC82" s="2923"/>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2"/>
      <c r="O83" s="2952"/>
      <c r="P83" s="2942"/>
      <c r="Q83" s="2937"/>
      <c r="R83" s="2923"/>
      <c r="S83" s="2923"/>
      <c r="T83" s="2923"/>
      <c r="U83" s="2923"/>
      <c r="V83" s="2923"/>
      <c r="W83" s="2923"/>
      <c r="X83" s="2923"/>
      <c r="Y83" s="2923"/>
      <c r="Z83" s="2923"/>
      <c r="AA83" s="2923"/>
      <c r="AB83" s="2923"/>
      <c r="AC83" s="2923"/>
    </row>
    <row r="84" spans="1:29" ht="15.75" thickTop="1">
      <c r="A84" s="490"/>
      <c r="B84" s="494" t="s">
        <v>2370</v>
      </c>
      <c r="C84" s="534" t="s">
        <v>2358</v>
      </c>
      <c r="D84" s="534" t="s">
        <v>2359</v>
      </c>
      <c r="E84" s="534" t="s">
        <v>2360</v>
      </c>
      <c r="F84" s="534" t="s">
        <v>2361</v>
      </c>
      <c r="G84" s="534" t="s">
        <v>2362</v>
      </c>
      <c r="H84" s="495"/>
      <c r="I84" s="495"/>
      <c r="J84" s="495"/>
      <c r="K84" s="496"/>
      <c r="L84" s="497"/>
      <c r="M84" s="498"/>
      <c r="N84" s="2951"/>
      <c r="O84" s="2951"/>
      <c r="P84" s="2942"/>
      <c r="Q84" s="2937"/>
      <c r="R84" s="2923"/>
      <c r="S84" s="2923"/>
      <c r="T84" s="2923"/>
      <c r="U84" s="2923"/>
      <c r="V84" s="2923"/>
      <c r="W84" s="2923"/>
      <c r="X84" s="2923"/>
      <c r="Y84" s="2923"/>
      <c r="Z84" s="2923"/>
      <c r="AA84" s="2923"/>
      <c r="AB84" s="2923"/>
      <c r="AC84" s="2923"/>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2"/>
      <c r="O85" s="2952"/>
      <c r="P85" s="2942"/>
      <c r="Q85" s="2937"/>
      <c r="R85" s="2923"/>
      <c r="S85" s="2923"/>
      <c r="T85" s="2923"/>
      <c r="U85" s="2923"/>
      <c r="V85" s="2923"/>
      <c r="W85" s="2923"/>
      <c r="X85" s="2923"/>
      <c r="Y85" s="2923"/>
      <c r="Z85" s="2923"/>
      <c r="AA85" s="2923"/>
      <c r="AB85" s="2923"/>
      <c r="AC85" s="2923"/>
    </row>
    <row r="86" spans="1:29" s="113" customFormat="1" ht="15.75" thickTop="1">
      <c r="A86" s="535"/>
      <c r="B86" s="494" t="s">
        <v>2441</v>
      </c>
      <c r="C86" s="510"/>
      <c r="D86" s="510"/>
      <c r="E86" s="510"/>
      <c r="F86" s="510"/>
      <c r="G86" s="510"/>
      <c r="H86" s="510"/>
      <c r="I86" s="510"/>
      <c r="J86" s="510"/>
      <c r="K86" s="510"/>
      <c r="L86" s="536"/>
      <c r="M86" s="537"/>
      <c r="N86" s="2950"/>
      <c r="O86" s="2950"/>
      <c r="P86" s="2942"/>
      <c r="Q86" s="2937"/>
      <c r="R86" s="2857"/>
      <c r="S86" s="2857"/>
      <c r="T86" s="2857"/>
      <c r="U86" s="2857"/>
      <c r="V86" s="2857"/>
      <c r="W86" s="2857"/>
      <c r="X86" s="2857"/>
      <c r="Y86" s="2857"/>
      <c r="Z86" s="2857"/>
      <c r="AA86" s="2857"/>
      <c r="AB86" s="2857"/>
      <c r="AC86" s="2857"/>
    </row>
    <row r="87" spans="1:29" s="113"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5"/>
      <c r="B88" s="494" t="str">
        <f>B26</f>
        <v>平面位置/可视性</v>
      </c>
      <c r="C88" s="510"/>
      <c r="D88" s="510"/>
      <c r="E88" s="510"/>
      <c r="F88" s="2082"/>
      <c r="G88" s="510"/>
      <c r="H88" s="510"/>
      <c r="I88" s="510"/>
      <c r="J88" s="510"/>
      <c r="K88" s="510"/>
      <c r="L88" s="510"/>
      <c r="M88" s="537"/>
      <c r="N88" s="2950"/>
      <c r="O88" s="2950"/>
      <c r="P88" s="2942"/>
      <c r="Q88" s="2937"/>
      <c r="R88" s="2857"/>
      <c r="S88" s="2857"/>
      <c r="T88" s="2857"/>
      <c r="U88" s="2857"/>
      <c r="V88" s="2857"/>
      <c r="W88" s="2857"/>
      <c r="X88" s="2857"/>
      <c r="Y88" s="2857"/>
      <c r="Z88" s="2857"/>
      <c r="AA88" s="2857"/>
      <c r="AB88" s="2857"/>
      <c r="AC88" s="2857"/>
    </row>
    <row r="89" spans="1:29" s="113" customFormat="1" ht="15.75" thickBot="1">
      <c r="A89" s="535"/>
      <c r="B89" s="499"/>
      <c r="C89" s="516"/>
      <c r="D89" s="492"/>
      <c r="E89" s="492"/>
      <c r="F89" s="492"/>
      <c r="G89" s="492"/>
      <c r="H89" s="492"/>
      <c r="I89" s="492"/>
      <c r="J89" s="492"/>
      <c r="K89" s="492"/>
      <c r="L89" s="492"/>
      <c r="M89" s="492"/>
      <c r="N89" s="2952"/>
      <c r="O89" s="2952"/>
      <c r="P89" s="2942"/>
      <c r="Q89" s="2937"/>
      <c r="R89" s="2857"/>
      <c r="S89" s="2857"/>
      <c r="T89" s="2857"/>
      <c r="U89" s="2857"/>
      <c r="V89" s="2857"/>
      <c r="W89" s="2857"/>
      <c r="X89" s="2857"/>
      <c r="Y89" s="2857"/>
      <c r="Z89" s="2857"/>
      <c r="AA89" s="2857"/>
      <c r="AB89" s="2857"/>
      <c r="AC89" s="2857"/>
    </row>
    <row r="90" spans="1:29" s="429" customFormat="1" ht="15.75" thickTop="1">
      <c r="A90" s="509"/>
      <c r="B90" s="494" t="str">
        <f>B27</f>
        <v>人流量</v>
      </c>
      <c r="C90" s="510"/>
      <c r="D90" s="510"/>
      <c r="E90" s="510"/>
      <c r="F90" s="510"/>
      <c r="G90" s="510"/>
      <c r="H90" s="511"/>
      <c r="I90" s="511"/>
      <c r="J90" s="511"/>
      <c r="K90" s="511"/>
      <c r="L90" s="512"/>
      <c r="M90" s="513"/>
      <c r="N90" s="2953"/>
      <c r="O90" s="2953"/>
      <c r="P90" s="2943"/>
      <c r="Q90" s="2944"/>
      <c r="R90" s="2945"/>
      <c r="S90" s="2945"/>
      <c r="T90" s="2945"/>
      <c r="U90" s="2945"/>
      <c r="V90" s="2945"/>
      <c r="W90" s="2945"/>
      <c r="X90" s="2945"/>
      <c r="Y90" s="2945"/>
      <c r="Z90" s="2945"/>
      <c r="AA90" s="2945"/>
      <c r="AB90" s="2945"/>
      <c r="AC90" s="2945"/>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0"/>
      <c r="B92" s="494" t="str">
        <f>B28</f>
        <v>楼层</v>
      </c>
      <c r="C92" s="510"/>
      <c r="D92" s="510"/>
      <c r="E92" s="510"/>
      <c r="F92" s="510"/>
      <c r="G92" s="510"/>
      <c r="H92" s="510"/>
      <c r="I92" s="510"/>
      <c r="J92" s="510"/>
      <c r="K92" s="510"/>
      <c r="L92" s="536"/>
      <c r="M92" s="537"/>
      <c r="N92" s="2951"/>
      <c r="O92" s="2951"/>
      <c r="P92" s="2942"/>
      <c r="Q92" s="2937"/>
      <c r="R92" s="2923"/>
      <c r="S92" s="2923"/>
      <c r="T92" s="2923"/>
      <c r="U92" s="2923"/>
      <c r="V92" s="2923"/>
      <c r="W92" s="2923"/>
      <c r="X92" s="2923"/>
      <c r="Y92" s="2923"/>
      <c r="Z92" s="2923"/>
      <c r="AA92" s="2923"/>
      <c r="AB92" s="2923"/>
      <c r="AC92" s="2923"/>
    </row>
    <row r="93" spans="1:29" ht="15.75" thickBot="1">
      <c r="A93" s="490"/>
      <c r="B93" s="499"/>
      <c r="C93" s="492"/>
      <c r="D93" s="492"/>
      <c r="E93" s="492"/>
      <c r="F93" s="492"/>
      <c r="G93" s="492"/>
      <c r="H93" s="492"/>
      <c r="I93" s="492"/>
      <c r="J93" s="492"/>
      <c r="K93" s="492"/>
      <c r="L93" s="492"/>
      <c r="M93" s="493"/>
      <c r="N93" s="2952"/>
      <c r="O93" s="2952"/>
      <c r="P93" s="2942"/>
      <c r="Q93" s="2937"/>
      <c r="R93" s="2923"/>
      <c r="S93" s="2923"/>
      <c r="T93" s="2923"/>
      <c r="U93" s="2923"/>
      <c r="V93" s="2923"/>
      <c r="W93" s="2923"/>
      <c r="X93" s="2923"/>
      <c r="Y93" s="2923"/>
      <c r="Z93" s="2923"/>
      <c r="AA93" s="2923"/>
      <c r="AB93" s="2923"/>
      <c r="AC93" s="2923"/>
    </row>
    <row r="94" spans="1:29" ht="15.75" thickTop="1">
      <c r="A94" s="490"/>
      <c r="B94" s="494">
        <f>B29</f>
        <v>111</v>
      </c>
      <c r="C94" s="510"/>
      <c r="D94" s="510"/>
      <c r="E94" s="510"/>
      <c r="F94" s="510"/>
      <c r="G94" s="539"/>
      <c r="H94" s="539"/>
      <c r="I94" s="539"/>
      <c r="J94" s="539"/>
      <c r="K94" s="540"/>
      <c r="L94" s="541"/>
      <c r="M94" s="542"/>
      <c r="N94" s="2951"/>
      <c r="O94" s="2951"/>
      <c r="P94" s="2942"/>
      <c r="Q94" s="2937"/>
      <c r="R94" s="2923"/>
      <c r="S94" s="2923"/>
      <c r="T94" s="2923"/>
      <c r="U94" s="2923"/>
      <c r="V94" s="2923"/>
      <c r="W94" s="2923"/>
      <c r="X94" s="2923"/>
      <c r="Y94" s="2923"/>
      <c r="Z94" s="2923"/>
      <c r="AA94" s="2923"/>
      <c r="AB94" s="2923"/>
      <c r="AC94" s="2923"/>
    </row>
    <row r="95" spans="1:29" ht="15.75" thickBot="1">
      <c r="A95" s="490"/>
      <c r="B95" s="499"/>
      <c r="C95" s="516"/>
      <c r="D95" s="492"/>
      <c r="E95" s="492"/>
      <c r="F95" s="492"/>
      <c r="G95" s="492"/>
      <c r="H95" s="492"/>
      <c r="I95" s="492"/>
      <c r="J95" s="492"/>
      <c r="K95" s="492"/>
      <c r="L95" s="492"/>
      <c r="M95" s="493"/>
      <c r="N95" s="2952"/>
      <c r="O95" s="2952"/>
      <c r="P95" s="2942"/>
      <c r="Q95" s="2937"/>
      <c r="R95" s="2923"/>
      <c r="S95" s="2923"/>
      <c r="T95" s="2923"/>
      <c r="U95" s="2923"/>
      <c r="V95" s="2923"/>
      <c r="W95" s="2923"/>
      <c r="X95" s="2923"/>
      <c r="Y95" s="2923"/>
      <c r="Z95" s="2923"/>
      <c r="AA95" s="2923"/>
      <c r="AB95" s="2923"/>
      <c r="AC95" s="2923"/>
    </row>
    <row r="96" spans="1:29" ht="15.75" thickTop="1">
      <c r="A96" s="490"/>
      <c r="B96" s="494">
        <f>B30</f>
        <v>111</v>
      </c>
      <c r="C96" s="510"/>
      <c r="D96" s="510"/>
      <c r="E96" s="510"/>
      <c r="F96" s="510"/>
      <c r="G96" s="539"/>
      <c r="H96" s="539"/>
      <c r="I96" s="539"/>
      <c r="J96" s="539"/>
      <c r="K96" s="540"/>
      <c r="L96" s="541"/>
      <c r="M96" s="542"/>
      <c r="N96" s="2951"/>
      <c r="O96" s="2951"/>
      <c r="P96" s="2942"/>
      <c r="Q96" s="2937"/>
      <c r="R96" s="2923"/>
      <c r="S96" s="2923"/>
      <c r="T96" s="2923"/>
      <c r="U96" s="2923"/>
      <c r="V96" s="2923"/>
      <c r="W96" s="2923"/>
      <c r="X96" s="2923"/>
      <c r="Y96" s="2923"/>
      <c r="Z96" s="2923"/>
      <c r="AA96" s="2923"/>
      <c r="AB96" s="2923"/>
      <c r="AC96" s="2923"/>
    </row>
    <row r="97" spans="1:29" ht="15.75" thickBot="1">
      <c r="A97" s="490"/>
      <c r="B97" s="499"/>
      <c r="C97" s="516"/>
      <c r="D97" s="492"/>
      <c r="E97" s="492"/>
      <c r="F97" s="492"/>
      <c r="G97" s="492"/>
      <c r="H97" s="492"/>
      <c r="I97" s="492"/>
      <c r="J97" s="492"/>
      <c r="K97" s="492"/>
      <c r="L97" s="492"/>
      <c r="M97" s="493"/>
      <c r="N97" s="2952"/>
      <c r="O97" s="2952"/>
      <c r="P97" s="2942"/>
      <c r="Q97" s="2937"/>
      <c r="R97" s="2923"/>
      <c r="S97" s="2923"/>
      <c r="T97" s="2923"/>
      <c r="U97" s="2923"/>
      <c r="V97" s="2923"/>
      <c r="W97" s="2923"/>
      <c r="X97" s="2923"/>
      <c r="Y97" s="2923"/>
      <c r="Z97" s="2923"/>
      <c r="AA97" s="2923"/>
      <c r="AB97" s="2923"/>
      <c r="AC97" s="2923"/>
    </row>
    <row r="98" spans="1:29" ht="15.75" thickTop="1">
      <c r="A98" s="490"/>
      <c r="B98" s="502">
        <f>B31</f>
        <v>111</v>
      </c>
      <c r="C98" s="510"/>
      <c r="D98" s="510"/>
      <c r="E98" s="510"/>
      <c r="F98" s="510"/>
      <c r="G98" s="543"/>
      <c r="H98" s="543"/>
      <c r="I98" s="543"/>
      <c r="J98" s="543"/>
      <c r="K98" s="544"/>
      <c r="L98" s="545"/>
      <c r="M98" s="546"/>
      <c r="N98" s="2951"/>
      <c r="O98" s="2951"/>
      <c r="P98" s="2942"/>
      <c r="Q98" s="2937"/>
      <c r="R98" s="2923"/>
      <c r="S98" s="2923"/>
      <c r="T98" s="2923"/>
      <c r="U98" s="2923"/>
      <c r="V98" s="2923"/>
      <c r="W98" s="2923"/>
      <c r="X98" s="2923"/>
      <c r="Y98" s="2923"/>
      <c r="Z98" s="2923"/>
      <c r="AA98" s="2923"/>
      <c r="AB98" s="2923"/>
      <c r="AC98" s="2923"/>
    </row>
    <row r="99" spans="1:29" ht="15.75" thickBot="1">
      <c r="A99" s="2083"/>
      <c r="B99" s="525"/>
      <c r="C99" s="526"/>
      <c r="D99" s="526"/>
      <c r="E99" s="526"/>
      <c r="F99" s="526"/>
      <c r="G99" s="547"/>
      <c r="H99" s="547"/>
      <c r="I99" s="547"/>
      <c r="J99" s="547"/>
      <c r="K99" s="547"/>
      <c r="L99" s="547"/>
      <c r="M99" s="548"/>
      <c r="N99" s="2952"/>
      <c r="O99" s="2952"/>
      <c r="P99" s="2942"/>
      <c r="Q99" s="2937"/>
      <c r="R99" s="2923"/>
      <c r="S99" s="2923"/>
      <c r="T99" s="2923"/>
      <c r="U99" s="2923"/>
      <c r="V99" s="2923"/>
      <c r="W99" s="2923"/>
      <c r="X99" s="2923"/>
      <c r="Y99" s="2923"/>
      <c r="Z99" s="2923"/>
      <c r="AA99" s="2923"/>
      <c r="AB99" s="2923"/>
      <c r="AC99" s="2923"/>
    </row>
    <row r="100" spans="1:29">
      <c r="A100" s="483" t="s">
        <v>2324</v>
      </c>
      <c r="B100" s="484" t="s">
        <v>2442</v>
      </c>
      <c r="C100" s="486"/>
      <c r="D100" s="486"/>
      <c r="E100" s="486"/>
      <c r="F100" s="486"/>
      <c r="G100" s="486"/>
      <c r="H100" s="486"/>
      <c r="I100" s="486"/>
      <c r="J100" s="486"/>
      <c r="K100" s="487"/>
      <c r="L100" s="488"/>
      <c r="M100" s="489"/>
      <c r="N100" s="2951"/>
      <c r="O100" s="2951"/>
      <c r="P100" s="2942"/>
      <c r="Q100" s="2937"/>
      <c r="R100" s="2923"/>
      <c r="S100" s="2923"/>
      <c r="T100" s="2923"/>
      <c r="U100" s="2923"/>
      <c r="V100" s="2923"/>
      <c r="W100" s="2923"/>
      <c r="X100" s="2923"/>
      <c r="Y100" s="2923"/>
      <c r="Z100" s="2923"/>
      <c r="AA100" s="2923"/>
      <c r="AB100" s="2923"/>
      <c r="AC100" s="2923"/>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29" customFormat="1">
      <c r="A103" s="549"/>
      <c r="B103" s="550"/>
      <c r="C103" s="551"/>
      <c r="D103" s="551"/>
      <c r="E103" s="551"/>
      <c r="F103" s="551"/>
      <c r="G103" s="551"/>
      <c r="H103" s="551"/>
      <c r="I103" s="551"/>
      <c r="J103" s="552"/>
      <c r="K103" s="552"/>
      <c r="L103" s="553"/>
      <c r="M103" s="554"/>
      <c r="N103" s="2953"/>
      <c r="O103" s="2953"/>
      <c r="P103" s="2943"/>
      <c r="Q103" s="2944"/>
      <c r="R103" s="2945"/>
      <c r="S103" s="2945"/>
      <c r="T103" s="2945"/>
      <c r="U103" s="2945"/>
      <c r="V103" s="2945"/>
      <c r="W103" s="2945"/>
      <c r="X103" s="2945"/>
      <c r="Y103" s="2945"/>
      <c r="Z103" s="2945"/>
      <c r="AA103" s="2945"/>
      <c r="AB103" s="2945"/>
      <c r="AC103" s="2945"/>
    </row>
    <row r="104" spans="1:29" s="429" customFormat="1" ht="15.75" thickBot="1">
      <c r="A104" s="509"/>
      <c r="B104" s="499"/>
      <c r="C104" s="516"/>
      <c r="D104" s="492"/>
      <c r="E104" s="492"/>
      <c r="F104" s="492"/>
      <c r="G104" s="492"/>
      <c r="H104" s="492"/>
      <c r="I104" s="492"/>
      <c r="J104" s="492"/>
      <c r="K104" s="492"/>
      <c r="L104" s="492"/>
      <c r="M104" s="493"/>
      <c r="N104" s="2952"/>
      <c r="O104" s="2952"/>
      <c r="P104" s="2943"/>
      <c r="Q104" s="2944"/>
      <c r="R104" s="2945"/>
      <c r="S104" s="2945"/>
      <c r="T104" s="2945"/>
      <c r="U104" s="2945"/>
      <c r="V104" s="2945"/>
      <c r="W104" s="2945"/>
      <c r="X104" s="2945"/>
      <c r="Y104" s="2945"/>
      <c r="Z104" s="2945"/>
      <c r="AA104" s="2945"/>
      <c r="AB104" s="2945"/>
      <c r="AC104" s="2945"/>
    </row>
    <row r="105" spans="1:29" ht="15" thickTop="1">
      <c r="A105" s="555"/>
      <c r="B105" s="494" t="s">
        <v>2375</v>
      </c>
      <c r="C105" s="510"/>
      <c r="D105" s="510"/>
      <c r="E105" s="539"/>
      <c r="F105" s="539"/>
      <c r="G105" s="539"/>
      <c r="H105" s="539"/>
      <c r="I105" s="539"/>
      <c r="J105" s="539"/>
      <c r="K105" s="540"/>
      <c r="L105" s="541"/>
      <c r="M105" s="542"/>
      <c r="N105" s="2951"/>
      <c r="O105" s="2951"/>
      <c r="P105" s="2942"/>
      <c r="Q105" s="2937"/>
      <c r="R105" s="2923"/>
      <c r="S105" s="2923"/>
      <c r="T105" s="2923"/>
      <c r="U105" s="2923"/>
      <c r="V105" s="2923"/>
      <c r="W105" s="2923"/>
      <c r="X105" s="2923"/>
      <c r="Y105" s="2923"/>
      <c r="Z105" s="2923"/>
      <c r="AA105" s="2923"/>
      <c r="AB105" s="2923"/>
      <c r="AC105" s="2923"/>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5"/>
      <c r="B107" s="494" t="s">
        <v>2377</v>
      </c>
      <c r="C107" s="510"/>
      <c r="D107" s="510"/>
      <c r="E107" s="510"/>
      <c r="F107" s="539"/>
      <c r="G107" s="539"/>
      <c r="H107" s="539"/>
      <c r="I107" s="539"/>
      <c r="J107" s="539"/>
      <c r="K107" s="540"/>
      <c r="L107" s="541"/>
      <c r="M107" s="542"/>
      <c r="N107" s="2951"/>
      <c r="O107" s="2951"/>
      <c r="P107" s="2942"/>
      <c r="Q107" s="2937"/>
      <c r="R107" s="2923"/>
      <c r="S107" s="2923"/>
      <c r="T107" s="2923"/>
      <c r="U107" s="2923"/>
      <c r="V107" s="2923"/>
      <c r="W107" s="2923"/>
      <c r="X107" s="2923"/>
      <c r="Y107" s="2923"/>
      <c r="Z107" s="2923"/>
      <c r="AA107" s="2923"/>
      <c r="AB107" s="2923"/>
      <c r="AC107" s="2923"/>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1"/>
      <c r="O109" s="2951"/>
      <c r="P109" s="2942"/>
      <c r="Q109" s="2937"/>
      <c r="R109" s="2923"/>
      <c r="S109" s="2923"/>
      <c r="T109" s="2923"/>
      <c r="U109" s="2923"/>
      <c r="V109" s="2923"/>
      <c r="W109" s="2923"/>
      <c r="X109" s="2923"/>
      <c r="Y109" s="2923"/>
      <c r="Z109" s="2923"/>
      <c r="AA109" s="2923"/>
      <c r="AB109" s="2923"/>
      <c r="AC109" s="2923"/>
    </row>
    <row r="110" spans="1:29">
      <c r="A110" s="555"/>
      <c r="B110" s="502"/>
      <c r="C110" s="559">
        <v>0.5</v>
      </c>
      <c r="D110" s="559">
        <v>0.6</v>
      </c>
      <c r="E110" s="559">
        <v>0.7</v>
      </c>
      <c r="F110" s="559">
        <v>0.8</v>
      </c>
      <c r="G110" s="559">
        <v>0.9</v>
      </c>
      <c r="H110" s="559">
        <v>1.0001</v>
      </c>
      <c r="I110" s="578"/>
      <c r="J110" s="578"/>
      <c r="K110" s="579"/>
      <c r="L110" s="580"/>
      <c r="M110" s="581"/>
      <c r="N110" s="2951"/>
      <c r="O110" s="2951"/>
      <c r="P110" s="2942"/>
      <c r="Q110" s="2937"/>
      <c r="R110" s="2923"/>
      <c r="S110" s="2923"/>
      <c r="T110" s="2923"/>
      <c r="U110" s="2923"/>
      <c r="V110" s="2923"/>
      <c r="W110" s="2923"/>
      <c r="X110" s="2923"/>
      <c r="Y110" s="2923"/>
      <c r="Z110" s="2923"/>
      <c r="AA110" s="2923"/>
      <c r="AB110" s="2923"/>
      <c r="AC110" s="2923"/>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2"/>
      <c r="O111" s="2952"/>
      <c r="P111" s="2942"/>
      <c r="Q111" s="2937"/>
      <c r="R111" s="2923"/>
      <c r="S111" s="2923"/>
      <c r="T111" s="2923"/>
      <c r="U111" s="2923"/>
      <c r="V111" s="2923"/>
      <c r="W111" s="2923"/>
      <c r="X111" s="2923"/>
      <c r="Y111" s="2923"/>
      <c r="Z111" s="2923"/>
      <c r="AA111" s="2923"/>
      <c r="AB111" s="2923"/>
      <c r="AC111" s="2923"/>
    </row>
    <row r="112" spans="1:29" s="429" customFormat="1" ht="15" thickTop="1">
      <c r="A112" s="549"/>
      <c r="B112" s="494" t="s">
        <v>2379</v>
      </c>
      <c r="C112" s="510"/>
      <c r="D112" s="510"/>
      <c r="E112" s="510"/>
      <c r="F112" s="510"/>
      <c r="G112" s="510"/>
      <c r="H112" s="539"/>
      <c r="I112" s="539"/>
      <c r="J112" s="539"/>
      <c r="K112" s="540"/>
      <c r="L112" s="541"/>
      <c r="M112" s="542"/>
      <c r="N112" s="2953"/>
      <c r="O112" s="2953"/>
      <c r="P112" s="2943"/>
      <c r="Q112" s="2944"/>
      <c r="R112" s="2945"/>
      <c r="S112" s="2945"/>
      <c r="T112" s="2945"/>
      <c r="U112" s="2945"/>
      <c r="V112" s="2945"/>
      <c r="W112" s="2945"/>
      <c r="X112" s="2945"/>
      <c r="Y112" s="2945"/>
      <c r="Z112" s="2945"/>
      <c r="AA112" s="2945"/>
      <c r="AB112" s="2945"/>
      <c r="AC112" s="2945"/>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5"/>
      <c r="B114" s="494" t="s">
        <v>2443</v>
      </c>
      <c r="C114" s="510"/>
      <c r="D114" s="510"/>
      <c r="E114" s="539"/>
      <c r="F114" s="539"/>
      <c r="G114" s="539"/>
      <c r="H114" s="539"/>
      <c r="I114" s="539"/>
      <c r="J114" s="539"/>
      <c r="K114" s="540"/>
      <c r="L114" s="541"/>
      <c r="M114" s="542"/>
      <c r="N114" s="2951"/>
      <c r="O114" s="2951"/>
      <c r="P114" s="2942"/>
      <c r="Q114" s="2937"/>
      <c r="R114" s="2923"/>
      <c r="S114" s="2923"/>
      <c r="T114" s="2923"/>
      <c r="U114" s="2923"/>
      <c r="V114" s="2923"/>
      <c r="W114" s="2923"/>
      <c r="X114" s="2923"/>
      <c r="Y114" s="2923"/>
      <c r="Z114" s="2923"/>
      <c r="AA114" s="2923"/>
      <c r="AB114" s="2923"/>
      <c r="AC114" s="2923"/>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5"/>
      <c r="B116" s="494" t="s">
        <v>2444</v>
      </c>
      <c r="C116" s="510"/>
      <c r="D116" s="510"/>
      <c r="E116" s="510"/>
      <c r="F116" s="510"/>
      <c r="G116" s="510"/>
      <c r="H116" s="539"/>
      <c r="I116" s="539"/>
      <c r="J116" s="539"/>
      <c r="K116" s="540"/>
      <c r="L116" s="541"/>
      <c r="M116" s="542"/>
      <c r="N116" s="2951"/>
      <c r="O116" s="2951"/>
      <c r="P116" s="2942"/>
      <c r="Q116" s="2937"/>
      <c r="R116" s="2923"/>
      <c r="S116" s="2923"/>
      <c r="T116" s="2923"/>
      <c r="U116" s="2923"/>
      <c r="V116" s="2923"/>
      <c r="W116" s="2923"/>
      <c r="X116" s="2923"/>
      <c r="Y116" s="2923"/>
      <c r="Z116" s="2923"/>
      <c r="AA116" s="2923"/>
      <c r="AB116" s="2923"/>
      <c r="AC116" s="2923"/>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2"/>
      <c r="O117" s="2952"/>
      <c r="P117" s="2942"/>
      <c r="Q117" s="2937"/>
      <c r="R117" s="2923"/>
      <c r="S117" s="2923"/>
      <c r="T117" s="2923"/>
      <c r="U117" s="2923"/>
      <c r="V117" s="2923"/>
      <c r="W117" s="2923"/>
      <c r="X117" s="2923"/>
      <c r="Y117" s="2923"/>
      <c r="Z117" s="2923"/>
      <c r="AA117" s="2923"/>
      <c r="AB117" s="2923"/>
      <c r="AC117" s="2923"/>
    </row>
    <row r="118" spans="1:29" ht="15" thickTop="1">
      <c r="A118" s="555"/>
      <c r="B118" s="494" t="s">
        <v>2445</v>
      </c>
      <c r="C118" s="582"/>
      <c r="D118" s="582"/>
      <c r="E118" s="582"/>
      <c r="F118" s="582"/>
      <c r="G118" s="582"/>
      <c r="H118" s="511"/>
      <c r="I118" s="511"/>
      <c r="J118" s="511"/>
      <c r="K118" s="511"/>
      <c r="L118" s="512"/>
      <c r="M118" s="513"/>
      <c r="N118" s="2951"/>
      <c r="O118" s="2951"/>
      <c r="P118" s="2942"/>
      <c r="Q118" s="2937"/>
      <c r="R118" s="2923"/>
      <c r="S118" s="2923"/>
      <c r="T118" s="2923"/>
      <c r="U118" s="2923"/>
      <c r="V118" s="2923"/>
      <c r="W118" s="2923"/>
      <c r="X118" s="2923"/>
      <c r="Y118" s="2923"/>
      <c r="Z118" s="2923"/>
      <c r="AA118" s="2923"/>
      <c r="AB118" s="2923"/>
      <c r="AC118" s="2923"/>
    </row>
    <row r="119" spans="1:29" ht="15.75" thickBot="1">
      <c r="A119" s="490"/>
      <c r="B119" s="499"/>
      <c r="C119" s="516"/>
      <c r="D119" s="492"/>
      <c r="E119" s="492"/>
      <c r="F119" s="492"/>
      <c r="G119" s="492"/>
      <c r="H119" s="492"/>
      <c r="I119" s="492"/>
      <c r="J119" s="492"/>
      <c r="K119" s="492"/>
      <c r="L119" s="492"/>
      <c r="M119" s="493"/>
      <c r="N119" s="2952"/>
      <c r="O119" s="2952"/>
      <c r="P119" s="2942"/>
      <c r="Q119" s="2937"/>
      <c r="R119" s="2923"/>
      <c r="S119" s="2923"/>
      <c r="T119" s="2923"/>
      <c r="U119" s="2923"/>
      <c r="V119" s="2923"/>
      <c r="W119" s="2923"/>
      <c r="X119" s="2923"/>
      <c r="Y119" s="2923"/>
      <c r="Z119" s="2923"/>
      <c r="AA119" s="2923"/>
      <c r="AB119" s="2923"/>
      <c r="AC119" s="2923"/>
    </row>
    <row r="120" spans="1:29" s="429" customFormat="1" ht="15" thickTop="1">
      <c r="A120" s="549"/>
      <c r="B120" s="494" t="s">
        <v>2446</v>
      </c>
      <c r="C120" s="539"/>
      <c r="D120" s="539"/>
      <c r="E120" s="539"/>
      <c r="F120" s="539"/>
      <c r="G120" s="511"/>
      <c r="H120" s="511"/>
      <c r="I120" s="511"/>
      <c r="J120" s="511"/>
      <c r="K120" s="511"/>
      <c r="L120" s="512"/>
      <c r="M120" s="513"/>
      <c r="N120" s="2953"/>
      <c r="O120" s="2953"/>
      <c r="P120" s="2943"/>
      <c r="Q120" s="2944"/>
      <c r="R120" s="2945"/>
      <c r="S120" s="2945"/>
      <c r="T120" s="2945"/>
      <c r="U120" s="2945"/>
      <c r="V120" s="2945"/>
      <c r="W120" s="2945"/>
      <c r="X120" s="2945"/>
      <c r="Y120" s="2945"/>
      <c r="Z120" s="2945"/>
      <c r="AA120" s="2945"/>
      <c r="AB120" s="2945"/>
      <c r="AC120" s="2945"/>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5"/>
      <c r="B122" s="494" t="s">
        <v>2381</v>
      </c>
      <c r="C122" s="510"/>
      <c r="D122" s="510"/>
      <c r="E122" s="510"/>
      <c r="F122" s="539"/>
      <c r="G122" s="539"/>
      <c r="H122" s="539"/>
      <c r="I122" s="539"/>
      <c r="J122" s="539"/>
      <c r="K122" s="540"/>
      <c r="L122" s="541"/>
      <c r="M122" s="542"/>
      <c r="N122" s="2951"/>
      <c r="O122" s="2951"/>
      <c r="P122" s="2942"/>
      <c r="Q122" s="2937"/>
      <c r="R122" s="2923"/>
      <c r="S122" s="2923"/>
      <c r="T122" s="2923"/>
      <c r="U122" s="2923"/>
      <c r="V122" s="2923"/>
      <c r="W122" s="2923"/>
      <c r="X122" s="2923"/>
      <c r="Y122" s="2923"/>
      <c r="Z122" s="2923"/>
      <c r="AA122" s="2923"/>
      <c r="AB122" s="2923"/>
      <c r="AC122" s="2923"/>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1"/>
      <c r="O124" s="2951"/>
      <c r="P124" s="2943"/>
      <c r="Q124" s="2937"/>
      <c r="R124" s="2923"/>
      <c r="S124" s="2923"/>
      <c r="T124" s="2923"/>
      <c r="U124" s="2923"/>
      <c r="V124" s="2923"/>
      <c r="W124" s="2923"/>
      <c r="X124" s="2923"/>
      <c r="Y124" s="2923"/>
      <c r="Z124" s="2923"/>
      <c r="AA124" s="2923"/>
      <c r="AB124" s="2923"/>
      <c r="AC124" s="2923"/>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2"/>
      <c r="O125" s="2952"/>
      <c r="P125" s="2942"/>
      <c r="Q125" s="2937"/>
      <c r="R125" s="2923"/>
      <c r="S125" s="2923"/>
      <c r="T125" s="2923"/>
      <c r="U125" s="2923"/>
      <c r="V125" s="2923"/>
      <c r="W125" s="2923"/>
      <c r="X125" s="2923"/>
      <c r="Y125" s="2923"/>
      <c r="Z125" s="2923"/>
      <c r="AA125" s="2923"/>
      <c r="AB125" s="2923"/>
      <c r="AC125" s="2923"/>
    </row>
    <row r="126" spans="1:29" s="429" customFormat="1" ht="15" thickTop="1">
      <c r="A126" s="549"/>
      <c r="B126" s="494">
        <f>B44</f>
        <v>111</v>
      </c>
      <c r="C126" s="510"/>
      <c r="D126" s="510"/>
      <c r="E126" s="510"/>
      <c r="F126" s="510"/>
      <c r="G126" s="510"/>
      <c r="H126" s="511"/>
      <c r="I126" s="511"/>
      <c r="J126" s="511"/>
      <c r="K126" s="511"/>
      <c r="L126" s="512"/>
      <c r="M126" s="513"/>
      <c r="N126" s="2953"/>
      <c r="O126" s="2953"/>
      <c r="P126" s="2943"/>
      <c r="Q126" s="2944"/>
      <c r="R126" s="2945"/>
      <c r="S126" s="2945"/>
      <c r="T126" s="2945"/>
      <c r="U126" s="2945"/>
      <c r="V126" s="2945"/>
      <c r="W126" s="2945"/>
      <c r="X126" s="2945"/>
      <c r="Y126" s="2945"/>
      <c r="Z126" s="2945"/>
      <c r="AA126" s="2945"/>
      <c r="AB126" s="2945"/>
      <c r="AC126" s="2945"/>
    </row>
    <row r="127" spans="1:29" s="429" customFormat="1" ht="15.75" thickBot="1">
      <c r="A127" s="509"/>
      <c r="B127" s="499"/>
      <c r="C127" s="516"/>
      <c r="D127" s="492"/>
      <c r="E127" s="492"/>
      <c r="F127" s="492"/>
      <c r="G127" s="516"/>
      <c r="H127" s="518"/>
      <c r="I127" s="518"/>
      <c r="J127" s="518"/>
      <c r="K127" s="518"/>
      <c r="L127" s="518"/>
      <c r="M127" s="519"/>
      <c r="N127" s="2953"/>
      <c r="O127" s="2953"/>
      <c r="P127" s="2943"/>
      <c r="Q127" s="2944"/>
      <c r="R127" s="2945"/>
      <c r="S127" s="2945"/>
      <c r="T127" s="2945"/>
      <c r="U127" s="2945"/>
      <c r="V127" s="2945"/>
      <c r="W127" s="2945"/>
      <c r="X127" s="2945"/>
      <c r="Y127" s="2945"/>
      <c r="Z127" s="2945"/>
      <c r="AA127" s="2945"/>
      <c r="AB127" s="2945"/>
      <c r="AC127" s="2945"/>
    </row>
    <row r="128" spans="1:29" ht="15" thickTop="1">
      <c r="A128" s="555"/>
      <c r="B128" s="494">
        <f>B45</f>
        <v>111</v>
      </c>
      <c r="C128" s="510"/>
      <c r="D128" s="510"/>
      <c r="E128" s="510"/>
      <c r="F128" s="510"/>
      <c r="G128" s="539"/>
      <c r="H128" s="539"/>
      <c r="I128" s="539"/>
      <c r="J128" s="539"/>
      <c r="K128" s="540"/>
      <c r="L128" s="541"/>
      <c r="M128" s="542"/>
      <c r="N128" s="2951"/>
      <c r="O128" s="2951"/>
      <c r="P128" s="2942"/>
      <c r="Q128" s="2937"/>
      <c r="R128" s="2923"/>
      <c r="S128" s="2923"/>
      <c r="T128" s="2923"/>
      <c r="U128" s="2923"/>
      <c r="V128" s="2923"/>
      <c r="W128" s="2923"/>
      <c r="X128" s="2923"/>
      <c r="Y128" s="2923"/>
      <c r="Z128" s="2923"/>
      <c r="AA128" s="2923"/>
      <c r="AB128" s="2923"/>
      <c r="AC128" s="2923"/>
    </row>
    <row r="129" spans="1:29" ht="15.75" thickBot="1">
      <c r="A129" s="490"/>
      <c r="B129" s="499"/>
      <c r="C129" s="516"/>
      <c r="D129" s="492"/>
      <c r="E129" s="492"/>
      <c r="F129" s="492"/>
      <c r="G129" s="492"/>
      <c r="H129" s="492"/>
      <c r="I129" s="492"/>
      <c r="J129" s="492"/>
      <c r="K129" s="492"/>
      <c r="L129" s="492"/>
      <c r="M129" s="493"/>
      <c r="N129" s="2952"/>
      <c r="O129" s="2952"/>
      <c r="P129" s="2942"/>
      <c r="Q129" s="2937"/>
      <c r="R129" s="2923"/>
      <c r="S129" s="2923"/>
      <c r="T129" s="2923"/>
      <c r="U129" s="2923"/>
      <c r="V129" s="2923"/>
      <c r="W129" s="2923"/>
      <c r="X129" s="2923"/>
      <c r="Y129" s="2923"/>
      <c r="Z129" s="2923"/>
      <c r="AA129" s="2923"/>
      <c r="AB129" s="2923"/>
      <c r="AC129" s="2923"/>
    </row>
    <row r="130" spans="1:29" ht="15" thickTop="1">
      <c r="A130" s="555"/>
      <c r="B130" s="502">
        <f>B46</f>
        <v>111</v>
      </c>
      <c r="C130" s="510"/>
      <c r="D130" s="510"/>
      <c r="E130" s="510"/>
      <c r="F130" s="510"/>
      <c r="G130" s="543"/>
      <c r="H130" s="543"/>
      <c r="I130" s="543"/>
      <c r="J130" s="543"/>
      <c r="K130" s="479"/>
      <c r="L130" s="480"/>
      <c r="M130" s="546"/>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5"/>
      <c r="C131" s="526"/>
      <c r="D131" s="526"/>
      <c r="E131" s="526"/>
      <c r="F131" s="526"/>
      <c r="G131" s="547"/>
      <c r="H131" s="547"/>
      <c r="I131" s="547"/>
      <c r="J131" s="547"/>
      <c r="K131" s="547"/>
      <c r="L131" s="547"/>
      <c r="M131" s="548"/>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20 I20 G20 C20" xr:uid="{00000000-0002-0000-2300-000003000000}">
      <formula1>公共配套设施</formula1>
    </dataValidation>
    <dataValidation type="list" allowBlank="1" showInputMessage="1" showErrorMessage="1" sqref="E18 G18 I18 C18" xr:uid="{00000000-0002-0000-2300-000004000000}">
      <formula1>交通便捷度</formula1>
    </dataValidation>
    <dataValidation type="list" allowBlank="1" showInputMessage="1" showErrorMessage="1" sqref="E24 G24 I24 C24" xr:uid="{00000000-0002-0000-2300-000005000000}">
      <formula1>环境</formula1>
    </dataValidation>
    <dataValidation type="list" allowBlank="1" showInputMessage="1" showErrorMessage="1" sqref="C25 E25 G25 I25" xr:uid="{00000000-0002-0000-2300-000006000000}">
      <formula1>商业临街状况</formula1>
    </dataValidation>
    <dataValidation type="list" allowBlank="1" showInputMessage="1" showErrorMessage="1" sqref="C27 E27 G27 I27" xr:uid="{00000000-0002-0000-2300-000007000000}">
      <formula1>商业人流量</formula1>
    </dataValidation>
    <dataValidation type="list" allowBlank="1" showInputMessage="1" showErrorMessage="1" sqref="C28 E28 G28 I28" xr:uid="{00000000-0002-0000-2300-000008000000}">
      <formula1>商业楼层</formula1>
    </dataValidation>
    <dataValidation type="list" allowBlank="1" showInputMessage="1" showErrorMessage="1" sqref="C32 E32 G32 I32" xr:uid="{00000000-0002-0000-2300-000009000000}">
      <formula1>商业类型</formula1>
    </dataValidation>
    <dataValidation type="list" allowBlank="1" showInputMessage="1" showErrorMessage="1" sqref="C34 E34 G34 I34" xr:uid="{00000000-0002-0000-2300-00000A000000}">
      <formula1>商业建筑结构</formula1>
    </dataValidation>
    <dataValidation type="list" allowBlank="1" showInputMessage="1" showErrorMessage="1" sqref="C35 E35 G35 I35" xr:uid="{00000000-0002-0000-2300-00000B000000}">
      <formula1>商业公共部分装修</formula1>
    </dataValidation>
    <dataValidation type="list" allowBlank="1" showInputMessage="1" showErrorMessage="1" sqref="C37 E37 G37 I37" xr:uid="{00000000-0002-0000-2300-00000C000000}">
      <formula1>商业基础设施水平</formula1>
    </dataValidation>
    <dataValidation type="list" allowBlank="1" showInputMessage="1" showErrorMessage="1" sqref="C41 E41 G41 I41" xr:uid="{00000000-0002-0000-2300-00000D000000}">
      <formula1>商业进深比</formula1>
    </dataValidation>
    <dataValidation type="list" allowBlank="1" showInputMessage="1" showErrorMessage="1" sqref="C42 E42 G42 I42" xr:uid="{00000000-0002-0000-2300-00000E000000}">
      <formula1>商业内部装修</formula1>
    </dataValidation>
    <dataValidation type="list" allowBlank="1" showInputMessage="1" showErrorMessage="1" sqref="E9 G9 I9" xr:uid="{00000000-0002-0000-2300-00000F000000}">
      <formula1>商业用途</formula1>
    </dataValidation>
    <dataValidation type="list" allowBlank="1" showInputMessage="1" showErrorMessage="1" sqref="C38 E38 G38 I38" xr:uid="{00000000-0002-0000-2300-000010000000}">
      <formula1>商业业态</formula1>
    </dataValidation>
    <dataValidation type="list" allowBlank="1" showInputMessage="1" showErrorMessage="1" sqref="C39 E39 G39 I39" xr:uid="{00000000-0002-0000-2300-000011000000}">
      <formula1>商业层高</formula1>
    </dataValidation>
    <dataValidation type="list" allowBlank="1" showInputMessage="1" showErrorMessage="1" sqref="C8 E8 G8 I8" xr:uid="{00000000-0002-0000-2300-000012000000}">
      <formula1>商业交易情况</formula1>
    </dataValidation>
    <dataValidation type="list" allowBlank="1" showInputMessage="1" showErrorMessage="1" sqref="C16 E16 G16 I16" xr:uid="{00000000-0002-0000-2300-000013000000}">
      <formula1>商业繁华度</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C2" xr:uid="{00000000-0002-0000-2300-000016000000}">
      <formula1>"需扣减承租人权益,——"</formula1>
    </dataValidation>
    <dataValidation type="list" allowBlank="1" showInputMessage="1" showErrorMessage="1" sqref="F2" xr:uid="{00000000-0002-0000-2300-000017000000}">
      <formula1>估价方法</formula1>
    </dataValidation>
    <dataValidation type="list" allowBlank="1" showInputMessage="1" showErrorMessage="1" sqref="D48" xr:uid="{00000000-0002-0000-23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IF(C2="——",ROUND(C50*D3/10000,0),ROUND(C50*D3/10000,0)-D2)</f>
        <v>#DIV/0!</v>
      </c>
      <c r="C2" s="2036"/>
      <c r="D2" s="1246" t="e">
        <f ca="1">SUMIF(INDIRECT("'"&amp;F2&amp;"'"&amp;"!A:A"),"承租人权益价值",INDIRECT("'"&amp;F2&amp;"'"&amp;"!c:c"))</f>
        <v>#REF!</v>
      </c>
      <c r="E2" s="2037" t="s">
        <v>2089</v>
      </c>
      <c r="F2" s="2038"/>
      <c r="G2" s="1038"/>
      <c r="H2" s="1038"/>
      <c r="I2" s="1038"/>
      <c r="J2" s="1038"/>
      <c r="K2" s="1038"/>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20815.18</v>
      </c>
      <c r="E3" s="2109"/>
      <c r="F3" s="1039"/>
      <c r="G3" s="1038"/>
      <c r="H3" s="1038"/>
      <c r="I3" s="1038"/>
      <c r="J3" s="1038"/>
      <c r="K3" s="1040"/>
      <c r="L3" s="2932"/>
      <c r="M3" s="2933"/>
      <c r="N3" s="2933"/>
      <c r="O3" s="2933"/>
      <c r="P3" s="707"/>
      <c r="Q3" s="707"/>
      <c r="R3" s="707"/>
      <c r="S3" s="707"/>
      <c r="T3" s="707"/>
      <c r="U3" s="707"/>
      <c r="V3" s="707"/>
      <c r="W3" s="707"/>
      <c r="X3" s="707"/>
      <c r="Y3" s="707"/>
      <c r="Z3" s="707"/>
      <c r="AA3" s="707"/>
      <c r="AB3" s="707"/>
      <c r="AC3" s="708"/>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538" t="s">
        <v>2412</v>
      </c>
      <c r="Q4" s="3539"/>
      <c r="R4" s="3542" t="s">
        <v>2408</v>
      </c>
      <c r="S4" s="3543"/>
      <c r="T4" s="3542" t="s">
        <v>2409</v>
      </c>
      <c r="U4" s="3543"/>
      <c r="V4" s="3544" t="s">
        <v>2410</v>
      </c>
      <c r="W4" s="3544"/>
      <c r="X4" s="2113"/>
      <c r="Y4" s="3542" t="s">
        <v>2412</v>
      </c>
      <c r="Z4" s="3543"/>
      <c r="AA4" s="3546" t="s">
        <v>2408</v>
      </c>
      <c r="AB4" s="3546" t="s">
        <v>2409</v>
      </c>
      <c r="AC4" s="3535" t="s">
        <v>2410</v>
      </c>
    </row>
    <row r="5" spans="1:29" ht="15">
      <c r="A5" s="363"/>
      <c r="B5" s="364"/>
      <c r="C5" s="3498" t="s">
        <v>2303</v>
      </c>
      <c r="D5" s="3388"/>
      <c r="E5" s="3499" t="s">
        <v>2304</v>
      </c>
      <c r="F5" s="3396"/>
      <c r="G5" s="3498" t="s">
        <v>2305</v>
      </c>
      <c r="H5" s="3388"/>
      <c r="I5" s="3498" t="s">
        <v>2306</v>
      </c>
      <c r="J5" s="3388"/>
      <c r="K5" s="566"/>
      <c r="L5" s="2913"/>
      <c r="M5" s="2914"/>
      <c r="N5" s="2914"/>
      <c r="O5" s="2914"/>
      <c r="P5" s="3540"/>
      <c r="Q5" s="3375"/>
      <c r="R5" s="3380"/>
      <c r="S5" s="3381"/>
      <c r="T5" s="3380"/>
      <c r="U5" s="3381"/>
      <c r="V5" s="3384"/>
      <c r="W5" s="3384"/>
      <c r="X5" s="1508"/>
      <c r="Y5" s="3380"/>
      <c r="Z5" s="3381"/>
      <c r="AA5" s="3366"/>
      <c r="AB5" s="3366"/>
      <c r="AC5" s="3536"/>
    </row>
    <row r="6" spans="1:29" ht="15.75" thickBot="1">
      <c r="A6" s="365"/>
      <c r="B6" s="366"/>
      <c r="C6" s="3385" t="s">
        <v>2307</v>
      </c>
      <c r="D6" s="3386"/>
      <c r="E6" s="3393" t="s">
        <v>2307</v>
      </c>
      <c r="F6" s="3394"/>
      <c r="G6" s="3385" t="s">
        <v>2307</v>
      </c>
      <c r="H6" s="3386"/>
      <c r="I6" s="3385" t="s">
        <v>2307</v>
      </c>
      <c r="J6" s="3386"/>
      <c r="K6" s="566" t="s">
        <v>2308</v>
      </c>
      <c r="L6" s="2913"/>
      <c r="M6" s="2914"/>
      <c r="N6" s="2914"/>
      <c r="O6" s="2914"/>
      <c r="P6" s="3541"/>
      <c r="Q6" s="3377"/>
      <c r="R6" s="3380"/>
      <c r="S6" s="3381"/>
      <c r="T6" s="3382"/>
      <c r="U6" s="3383"/>
      <c r="V6" s="3384"/>
      <c r="W6" s="3384"/>
      <c r="X6" s="1508"/>
      <c r="Y6" s="3382"/>
      <c r="Z6" s="3383"/>
      <c r="AA6" s="3367"/>
      <c r="AB6" s="3367"/>
      <c r="AC6" s="3537"/>
    </row>
    <row r="7" spans="1:29" s="113" customFormat="1" ht="15.75" thickBot="1">
      <c r="A7" s="367" t="s">
        <v>2309</v>
      </c>
      <c r="B7" s="368"/>
      <c r="C7" s="369">
        <f>'数据-取费表'!B2</f>
        <v>44617</v>
      </c>
      <c r="D7" s="370">
        <v>100</v>
      </c>
      <c r="E7" s="371"/>
      <c r="F7" s="372">
        <f>SUMIF(59:59,YEAR(E7)&amp;"-"&amp;MONTH(E7),60:60)</f>
        <v>0</v>
      </c>
      <c r="G7" s="371"/>
      <c r="H7" s="370">
        <f>SUMIF(59:59,YEAR(G7)&amp;"-"&amp;MONTH(G7),60:60)</f>
        <v>0</v>
      </c>
      <c r="I7" s="371"/>
      <c r="J7" s="370">
        <f>SUMIF(59:59,YEAR(I7)&amp;"-"&amp;MONTH(I7),60:60)</f>
        <v>0</v>
      </c>
      <c r="K7" s="567"/>
      <c r="L7" s="2915"/>
      <c r="M7" s="2916"/>
      <c r="N7" s="2916"/>
      <c r="O7" s="2916"/>
      <c r="P7" s="3545"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2114" t="e">
        <f>D7/J7</f>
        <v>#DIV/0!</v>
      </c>
    </row>
    <row r="8" spans="1:29" s="113"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5"/>
      <c r="M8" s="2916"/>
      <c r="N8" s="2916"/>
      <c r="O8" s="2916"/>
      <c r="P8" s="3545" t="s">
        <v>2313</v>
      </c>
      <c r="Q8" s="3390"/>
      <c r="R8" s="709" t="s">
        <v>17</v>
      </c>
      <c r="S8" s="710">
        <f t="shared" si="0"/>
        <v>0</v>
      </c>
      <c r="T8" s="709" t="s">
        <v>17</v>
      </c>
      <c r="U8" s="710">
        <f t="shared" si="1"/>
        <v>0</v>
      </c>
      <c r="V8" s="709" t="s">
        <v>17</v>
      </c>
      <c r="W8" s="710">
        <f t="shared" si="2"/>
        <v>0</v>
      </c>
      <c r="X8" s="711"/>
      <c r="Y8" s="3389" t="s">
        <v>2313</v>
      </c>
      <c r="Z8" s="3390"/>
      <c r="AA8" s="712" t="e">
        <f t="shared" ref="AA8:AA47" si="3">D8/F8</f>
        <v>#DIV/0!</v>
      </c>
      <c r="AB8" s="712" t="e">
        <f t="shared" ref="AB8:AB47" si="4">D8/H8</f>
        <v>#DIV/0!</v>
      </c>
      <c r="AC8" s="2114" t="e">
        <f t="shared" ref="AC8:AC47" si="5">D8/J8</f>
        <v>#DIV/0!</v>
      </c>
    </row>
    <row r="9" spans="1:29" s="113" customFormat="1">
      <c r="A9" s="374" t="s">
        <v>2314</v>
      </c>
      <c r="B9" s="67" t="s">
        <v>2315</v>
      </c>
      <c r="C9" s="375"/>
      <c r="D9" s="131">
        <v>100</v>
      </c>
      <c r="E9" s="378"/>
      <c r="F9" s="131">
        <f>SUMIF(64:64,E9,65:65)-SUMIF(64:64,C9,65:65)+100</f>
        <v>100</v>
      </c>
      <c r="G9" s="376"/>
      <c r="H9" s="131">
        <f>SUMIF(64:64,G9,65:65)-SUMIF(64:64,C9,65:65)+100</f>
        <v>100</v>
      </c>
      <c r="I9" s="376"/>
      <c r="J9" s="131">
        <f>SUMIF(64:64,I9,65:65)-SUMIF(64:64,C9,65:65)+100</f>
        <v>100</v>
      </c>
      <c r="K9" s="567"/>
      <c r="L9" s="2915"/>
      <c r="M9" s="2916"/>
      <c r="N9" s="2916"/>
      <c r="O9" s="2916"/>
      <c r="P9" s="3531"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2114">
        <f t="shared" si="5"/>
        <v>1</v>
      </c>
    </row>
    <row r="10" spans="1:29" s="385" customFormat="1" ht="27">
      <c r="A10" s="379"/>
      <c r="B10" s="380" t="s">
        <v>2318</v>
      </c>
      <c r="C10" s="381"/>
      <c r="D10" s="132">
        <v>100</v>
      </c>
      <c r="E10" s="381"/>
      <c r="F10" s="132">
        <f>SUMIF(66:66,E10,67:67)-SUMIF(66:66,C10,67:67)+100</f>
        <v>100</v>
      </c>
      <c r="G10" s="382"/>
      <c r="H10" s="132">
        <f>SUMIF(66:66,G10,67:67)-SUMIF(66:66,C10,67:67)+100</f>
        <v>100</v>
      </c>
      <c r="I10" s="381"/>
      <c r="J10" s="132">
        <f>SUMIF(66:66,I10,67:67)-SUMIF(66:66,C10,67:67)+100</f>
        <v>100</v>
      </c>
      <c r="K10" s="568"/>
      <c r="L10" s="2917"/>
      <c r="M10" s="2918"/>
      <c r="N10" s="2918"/>
      <c r="O10" s="2918"/>
      <c r="P10" s="3531"/>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2114">
        <f t="shared" si="5"/>
        <v>1</v>
      </c>
    </row>
    <row r="11" spans="1:29" ht="15">
      <c r="A11" s="386"/>
      <c r="B11" s="380" t="s">
        <v>2319</v>
      </c>
      <c r="C11" s="387"/>
      <c r="D11" s="132">
        <v>100</v>
      </c>
      <c r="E11" s="387"/>
      <c r="F11" s="132" t="e">
        <f>LOOKUP(E11,69:69,70:70)-LOOKUP(C11,69:69,70:70)+100</f>
        <v>#N/A</v>
      </c>
      <c r="G11" s="388"/>
      <c r="H11" s="132" t="e">
        <f>LOOKUP(G11,69:69,70:70)-LOOKUP(C11,69:69,70:70)+100</f>
        <v>#N/A</v>
      </c>
      <c r="I11" s="387"/>
      <c r="J11" s="132" t="e">
        <f>LOOKUP(I11,69:69,70:70)-LOOKUP(C11,69:69,70:70)+100</f>
        <v>#N/A</v>
      </c>
      <c r="K11" s="568"/>
      <c r="L11" s="2919"/>
      <c r="M11" s="2914"/>
      <c r="N11" s="2914"/>
      <c r="O11" s="2914"/>
      <c r="P11" s="3531"/>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2114" t="e">
        <f t="shared" si="5"/>
        <v>#N/A</v>
      </c>
    </row>
    <row r="12" spans="1:29" s="113" customFormat="1" ht="15">
      <c r="A12" s="389"/>
      <c r="B12" s="2048">
        <v>111</v>
      </c>
      <c r="C12" s="390"/>
      <c r="D12" s="391">
        <v>100</v>
      </c>
      <c r="E12" s="390"/>
      <c r="F12" s="132">
        <f>SUMIF(71:71,E12,72:72)-SUMIF(71:71,C12,72:72)+100</f>
        <v>100</v>
      </c>
      <c r="G12" s="2115"/>
      <c r="H12" s="132">
        <f>SUMIF(71:71,G12,72:72)-SUMIF(71:71,C12,72:72)+100</f>
        <v>100</v>
      </c>
      <c r="I12" s="390"/>
      <c r="J12" s="132">
        <f>SUMIF(71:71,I12,72:72)-SUMIF(71:71,C12,72:72)+100</f>
        <v>100</v>
      </c>
      <c r="K12" s="569"/>
      <c r="L12" s="2915"/>
      <c r="M12" s="2916"/>
      <c r="N12" s="2916"/>
      <c r="O12" s="2916"/>
      <c r="P12" s="3531"/>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2114">
        <f>D12/J12</f>
        <v>1</v>
      </c>
    </row>
    <row r="13" spans="1:29" ht="15">
      <c r="A13" s="386"/>
      <c r="B13" s="2048">
        <v>111</v>
      </c>
      <c r="C13" s="392"/>
      <c r="D13" s="393">
        <v>100</v>
      </c>
      <c r="E13" s="390"/>
      <c r="F13" s="132">
        <f>SUMIF(73:73,E13,74:74)-SUMIF(73:73,C13,74:74)+100</f>
        <v>100</v>
      </c>
      <c r="G13" s="2115"/>
      <c r="H13" s="393">
        <f>SUMIF(73:73,G13,74:74)-SUMIF(73:73,C13,74:74)+100</f>
        <v>100</v>
      </c>
      <c r="I13" s="390"/>
      <c r="J13" s="393">
        <f>SUMIF(73:73,I13,74:74)-SUMIF(73:73,C13,74:74)+100</f>
        <v>100</v>
      </c>
      <c r="K13" s="569"/>
      <c r="L13" s="2920"/>
      <c r="M13" s="2914"/>
      <c r="N13" s="2914"/>
      <c r="O13" s="2914"/>
      <c r="P13" s="3531"/>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2114">
        <f t="shared" si="5"/>
        <v>1</v>
      </c>
    </row>
    <row r="14" spans="1:29" ht="15.75" thickBot="1">
      <c r="A14" s="394"/>
      <c r="B14" s="2050">
        <v>111</v>
      </c>
      <c r="C14" s="395"/>
      <c r="D14" s="396">
        <v>100</v>
      </c>
      <c r="E14" s="583"/>
      <c r="F14" s="396">
        <f>SUMIF(75:75,E14,76:76)-SUMIF(75:75,C14,76:76)+100</f>
        <v>100</v>
      </c>
      <c r="G14" s="2115"/>
      <c r="H14" s="396">
        <f>SUMIF(75:75,G14,76:76)-SUMIF(75:75,C14,76:76)+100</f>
        <v>100</v>
      </c>
      <c r="I14" s="390"/>
      <c r="J14" s="396">
        <f>SUMIF(75:75,I14,76:76)-SUMIF(75:75,C14,76:76)+100</f>
        <v>100</v>
      </c>
      <c r="K14" s="569"/>
      <c r="L14" s="2920"/>
      <c r="M14" s="2914"/>
      <c r="N14" s="2914"/>
      <c r="O14" s="2914"/>
      <c r="P14" s="3531"/>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2114">
        <f t="shared" si="5"/>
        <v>1</v>
      </c>
    </row>
    <row r="15" spans="1:29" ht="71.25">
      <c r="A15" s="398" t="s">
        <v>2320</v>
      </c>
      <c r="B15" s="584" t="s">
        <v>2448</v>
      </c>
      <c r="C15" s="2116"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20"/>
      <c r="M15" s="2914"/>
      <c r="N15" s="2914"/>
      <c r="O15" s="2914"/>
      <c r="P15" s="3529" t="s">
        <v>2321</v>
      </c>
      <c r="Q15" s="1505" t="str">
        <f t="shared" si="6"/>
        <v>办公集聚程度</v>
      </c>
      <c r="R15" s="713" t="s">
        <v>17</v>
      </c>
      <c r="S15" s="714">
        <f t="shared" si="0"/>
        <v>100</v>
      </c>
      <c r="T15" s="713" t="s">
        <v>17</v>
      </c>
      <c r="U15" s="714">
        <f t="shared" si="1"/>
        <v>100</v>
      </c>
      <c r="V15" s="713" t="s">
        <v>17</v>
      </c>
      <c r="W15" s="714">
        <f t="shared" si="2"/>
        <v>100</v>
      </c>
      <c r="X15" s="1508"/>
      <c r="Y15" s="3360" t="s">
        <v>2321</v>
      </c>
      <c r="Z15" s="1509" t="str">
        <f t="shared" si="7"/>
        <v>办公集聚程度</v>
      </c>
      <c r="AA15" s="1506">
        <f t="shared" si="3"/>
        <v>1</v>
      </c>
      <c r="AB15" s="1506">
        <f t="shared" si="4"/>
        <v>1</v>
      </c>
      <c r="AC15" s="2117">
        <f t="shared" si="5"/>
        <v>1</v>
      </c>
    </row>
    <row r="16" spans="1:29" ht="15">
      <c r="A16" s="386"/>
      <c r="B16" s="585"/>
      <c r="C16" s="2059"/>
      <c r="D16" s="406"/>
      <c r="E16" s="405"/>
      <c r="F16" s="406"/>
      <c r="G16" s="2059"/>
      <c r="H16" s="408"/>
      <c r="I16" s="405"/>
      <c r="J16" s="406"/>
      <c r="K16" s="571"/>
      <c r="L16" s="2920"/>
      <c r="M16" s="2914"/>
      <c r="N16" s="2914"/>
      <c r="O16" s="2914"/>
      <c r="P16" s="3530"/>
      <c r="Q16" s="1505"/>
      <c r="R16" s="713"/>
      <c r="S16" s="714"/>
      <c r="T16" s="713"/>
      <c r="U16" s="714"/>
      <c r="V16" s="713"/>
      <c r="W16" s="714"/>
      <c r="X16" s="1508"/>
      <c r="Y16" s="3361"/>
      <c r="Z16" s="1509"/>
      <c r="AA16" s="1506">
        <v>1</v>
      </c>
      <c r="AB16" s="1506">
        <v>1</v>
      </c>
      <c r="AC16" s="2117">
        <v>1</v>
      </c>
    </row>
    <row r="17" spans="1:29" ht="71.25">
      <c r="A17" s="386"/>
      <c r="B17" s="586" t="s">
        <v>1885</v>
      </c>
      <c r="C17" s="2118"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20"/>
      <c r="M17" s="2914"/>
      <c r="N17" s="2914"/>
      <c r="O17" s="2914"/>
      <c r="P17" s="3530"/>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2117">
        <f t="shared" si="5"/>
        <v>1</v>
      </c>
    </row>
    <row r="18" spans="1:29" ht="15">
      <c r="A18" s="386"/>
      <c r="B18" s="587"/>
      <c r="C18" s="2119"/>
      <c r="D18" s="408"/>
      <c r="E18" s="2057"/>
      <c r="F18" s="408"/>
      <c r="G18" s="2058"/>
      <c r="H18" s="406"/>
      <c r="I18" s="2058"/>
      <c r="J18" s="406"/>
      <c r="K18" s="571"/>
      <c r="L18" s="2920"/>
      <c r="M18" s="2914"/>
      <c r="N18" s="2914"/>
      <c r="O18" s="2914"/>
      <c r="P18" s="3530"/>
      <c r="Q18" s="1505"/>
      <c r="R18" s="713"/>
      <c r="S18" s="714"/>
      <c r="T18" s="713"/>
      <c r="U18" s="714"/>
      <c r="V18" s="713"/>
      <c r="W18" s="714"/>
      <c r="X18" s="1508"/>
      <c r="Y18" s="3361"/>
      <c r="Z18" s="1509"/>
      <c r="AA18" s="1506">
        <v>1</v>
      </c>
      <c r="AB18" s="1506">
        <v>1</v>
      </c>
      <c r="AC18" s="2117">
        <v>1</v>
      </c>
    </row>
    <row r="19" spans="1:29" ht="42.75">
      <c r="A19" s="386"/>
      <c r="B19" s="586" t="s">
        <v>2449</v>
      </c>
      <c r="C19" s="2118"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20"/>
      <c r="M19" s="2914"/>
      <c r="N19" s="2914"/>
      <c r="O19" s="2914"/>
      <c r="P19" s="3530"/>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2117">
        <f t="shared" si="5"/>
        <v>1</v>
      </c>
    </row>
    <row r="20" spans="1:29" ht="15">
      <c r="A20" s="386"/>
      <c r="B20" s="587"/>
      <c r="C20" s="2059"/>
      <c r="D20" s="406"/>
      <c r="E20" s="2052"/>
      <c r="F20" s="406"/>
      <c r="G20" s="2053"/>
      <c r="H20" s="406"/>
      <c r="I20" s="2053"/>
      <c r="J20" s="406"/>
      <c r="K20" s="571"/>
      <c r="L20" s="2920"/>
      <c r="M20" s="2914"/>
      <c r="N20" s="2914"/>
      <c r="O20" s="2914"/>
      <c r="P20" s="3530"/>
      <c r="Q20" s="1505"/>
      <c r="R20" s="713"/>
      <c r="S20" s="714"/>
      <c r="T20" s="713"/>
      <c r="U20" s="714"/>
      <c r="V20" s="713"/>
      <c r="W20" s="714"/>
      <c r="X20" s="1508"/>
      <c r="Y20" s="3361"/>
      <c r="Z20" s="1509"/>
      <c r="AA20" s="1506">
        <v>1</v>
      </c>
      <c r="AB20" s="1506">
        <v>1</v>
      </c>
      <c r="AC20" s="2117">
        <v>1</v>
      </c>
    </row>
    <row r="21" spans="1:29" ht="28.5">
      <c r="A21" s="386"/>
      <c r="B21" s="588" t="s">
        <v>2450</v>
      </c>
      <c r="C21" s="2118"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20"/>
      <c r="M21" s="2914"/>
      <c r="N21" s="2914"/>
      <c r="O21" s="2914"/>
      <c r="P21" s="3530"/>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2117">
        <f t="shared" ref="AC21" si="10">D21/J21</f>
        <v>1</v>
      </c>
    </row>
    <row r="22" spans="1:29" ht="15">
      <c r="A22" s="386"/>
      <c r="B22" s="588"/>
      <c r="C22" s="2119"/>
      <c r="D22" s="406"/>
      <c r="E22" s="405"/>
      <c r="F22" s="406"/>
      <c r="G22" s="2059"/>
      <c r="H22" s="406"/>
      <c r="I22" s="2059"/>
      <c r="J22" s="406"/>
      <c r="K22" s="1263"/>
      <c r="L22" s="2920"/>
      <c r="M22" s="2914"/>
      <c r="N22" s="2914"/>
      <c r="O22" s="2914"/>
      <c r="P22" s="3530"/>
      <c r="Q22" s="1505"/>
      <c r="R22" s="713"/>
      <c r="S22" s="714"/>
      <c r="T22" s="713"/>
      <c r="U22" s="714"/>
      <c r="V22" s="713"/>
      <c r="W22" s="714"/>
      <c r="X22" s="1508"/>
      <c r="Y22" s="3361"/>
      <c r="Z22" s="1509"/>
      <c r="AA22" s="1506">
        <v>1</v>
      </c>
      <c r="AB22" s="1506">
        <v>1</v>
      </c>
      <c r="AC22" s="2117">
        <v>1</v>
      </c>
    </row>
    <row r="23" spans="1:29" ht="42.75">
      <c r="A23" s="386"/>
      <c r="B23" s="586" t="s">
        <v>2451</v>
      </c>
      <c r="C23" s="2118"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20"/>
      <c r="M23" s="2914"/>
      <c r="N23" s="2914"/>
      <c r="O23" s="2914"/>
      <c r="P23" s="3530"/>
      <c r="Q23" s="1505" t="str">
        <f>B23</f>
        <v>环境质量</v>
      </c>
      <c r="R23" s="713" t="s">
        <v>17</v>
      </c>
      <c r="S23" s="714">
        <f>F23</f>
        <v>100</v>
      </c>
      <c r="T23" s="713" t="s">
        <v>17</v>
      </c>
      <c r="U23" s="714">
        <f>H23</f>
        <v>100</v>
      </c>
      <c r="V23" s="713" t="s">
        <v>17</v>
      </c>
      <c r="W23" s="714">
        <f>J23</f>
        <v>100</v>
      </c>
      <c r="X23" s="1508"/>
      <c r="Y23" s="3361"/>
      <c r="Z23" s="1509" t="str">
        <f>Q23</f>
        <v>环境质量</v>
      </c>
      <c r="AA23" s="1506">
        <f t="shared" si="3"/>
        <v>1</v>
      </c>
      <c r="AB23" s="1506">
        <f t="shared" si="4"/>
        <v>1</v>
      </c>
      <c r="AC23" s="2117">
        <f t="shared" si="5"/>
        <v>1</v>
      </c>
    </row>
    <row r="24" spans="1:29" ht="15">
      <c r="A24" s="386"/>
      <c r="B24" s="588"/>
      <c r="C24" s="2059"/>
      <c r="D24" s="406"/>
      <c r="E24" s="2052"/>
      <c r="F24" s="406"/>
      <c r="G24" s="2053"/>
      <c r="H24" s="406"/>
      <c r="I24" s="2053"/>
      <c r="J24" s="406"/>
      <c r="K24" s="571"/>
      <c r="L24" s="2920"/>
      <c r="M24" s="2914"/>
      <c r="N24" s="2914"/>
      <c r="O24" s="2914"/>
      <c r="P24" s="3530"/>
      <c r="Q24" s="1505"/>
      <c r="R24" s="713"/>
      <c r="S24" s="714"/>
      <c r="T24" s="713"/>
      <c r="U24" s="714"/>
      <c r="V24" s="713"/>
      <c r="W24" s="714"/>
      <c r="X24" s="1508"/>
      <c r="Y24" s="3361"/>
      <c r="Z24" s="1509"/>
      <c r="AA24" s="1506">
        <v>1</v>
      </c>
      <c r="AB24" s="1506">
        <v>1</v>
      </c>
      <c r="AC24" s="2117">
        <v>1</v>
      </c>
    </row>
    <row r="25" spans="1:29" ht="27">
      <c r="A25" s="363"/>
      <c r="B25" s="586" t="s">
        <v>2452</v>
      </c>
      <c r="C25" s="2063"/>
      <c r="D25" s="393">
        <v>100</v>
      </c>
      <c r="E25" s="392"/>
      <c r="F25" s="393">
        <f>SUMIF(87:87,E26,88:88)-SUMIF(87:87,C26,88:88)+100</f>
        <v>100</v>
      </c>
      <c r="G25" s="2063"/>
      <c r="H25" s="393">
        <f>SUMIF(87:87,G26,88:88)-SUMIF(87:87,C26,88:88)+100</f>
        <v>100</v>
      </c>
      <c r="I25" s="392"/>
      <c r="J25" s="393">
        <f>SUMIF(87:87,I26,88:88)-SUMIF(87:87,C26,88:88)+100</f>
        <v>100</v>
      </c>
      <c r="K25" s="570"/>
      <c r="L25" s="2920"/>
      <c r="M25" s="2914"/>
      <c r="N25" s="2914"/>
      <c r="O25" s="2914"/>
      <c r="P25" s="3530"/>
      <c r="Q25" s="1505" t="str">
        <f>B25</f>
        <v>毗邻道路的类型与等级</v>
      </c>
      <c r="R25" s="713" t="s">
        <v>17</v>
      </c>
      <c r="S25" s="714">
        <f>F25</f>
        <v>100</v>
      </c>
      <c r="T25" s="713" t="s">
        <v>17</v>
      </c>
      <c r="U25" s="714">
        <f>H25</f>
        <v>100</v>
      </c>
      <c r="V25" s="713" t="s">
        <v>17</v>
      </c>
      <c r="W25" s="714">
        <f>J25</f>
        <v>100</v>
      </c>
      <c r="X25" s="1508"/>
      <c r="Y25" s="3361"/>
      <c r="Z25" s="1509" t="str">
        <f>Q25</f>
        <v>毗邻道路的类型与等级</v>
      </c>
      <c r="AA25" s="1506">
        <f t="shared" si="3"/>
        <v>1</v>
      </c>
      <c r="AB25" s="1506">
        <f t="shared" si="4"/>
        <v>1</v>
      </c>
      <c r="AC25" s="2117">
        <f t="shared" si="5"/>
        <v>1</v>
      </c>
    </row>
    <row r="26" spans="1:29" ht="15">
      <c r="A26" s="363"/>
      <c r="B26" s="587"/>
      <c r="C26" s="589"/>
      <c r="D26" s="393"/>
      <c r="E26" s="572"/>
      <c r="F26" s="393"/>
      <c r="G26" s="589"/>
      <c r="H26" s="393"/>
      <c r="I26" s="572"/>
      <c r="J26" s="393"/>
      <c r="K26" s="571"/>
      <c r="L26" s="2920"/>
      <c r="M26" s="2914"/>
      <c r="N26" s="2914"/>
      <c r="O26" s="2914"/>
      <c r="P26" s="3530"/>
      <c r="Q26" s="1505"/>
      <c r="R26" s="713"/>
      <c r="S26" s="714"/>
      <c r="T26" s="713"/>
      <c r="U26" s="714"/>
      <c r="V26" s="713"/>
      <c r="W26" s="714"/>
      <c r="X26" s="1508"/>
      <c r="Y26" s="3361"/>
      <c r="Z26" s="1509"/>
      <c r="AA26" s="1506">
        <v>1</v>
      </c>
      <c r="AB26" s="1506">
        <v>1</v>
      </c>
      <c r="AC26" s="2117">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20"/>
      <c r="M27" s="2914"/>
      <c r="N27" s="2914"/>
      <c r="O27" s="2914"/>
      <c r="P27" s="3530"/>
      <c r="Q27" s="1505" t="str">
        <f t="shared" ref="Q27:Q47" si="11">B27</f>
        <v>楼层</v>
      </c>
      <c r="R27" s="713" t="s">
        <v>17</v>
      </c>
      <c r="S27" s="714">
        <f>F27</f>
        <v>100</v>
      </c>
      <c r="T27" s="713" t="s">
        <v>17</v>
      </c>
      <c r="U27" s="714">
        <f>H27</f>
        <v>100</v>
      </c>
      <c r="V27" s="713" t="s">
        <v>17</v>
      </c>
      <c r="W27" s="714">
        <f>J27</f>
        <v>100</v>
      </c>
      <c r="X27" s="1508"/>
      <c r="Y27" s="3361"/>
      <c r="Z27" s="1509" t="str">
        <f>Q27</f>
        <v>楼层</v>
      </c>
      <c r="AA27" s="1506">
        <f t="shared" si="3"/>
        <v>1</v>
      </c>
      <c r="AB27" s="1506">
        <f t="shared" si="4"/>
        <v>1</v>
      </c>
      <c r="AC27" s="2117">
        <f t="shared" si="5"/>
        <v>1</v>
      </c>
    </row>
    <row r="28" spans="1:29" s="113" customFormat="1" ht="15">
      <c r="A28" s="389"/>
      <c r="B28" s="586" t="s">
        <v>2453</v>
      </c>
      <c r="C28" s="2120"/>
      <c r="D28" s="420">
        <v>100</v>
      </c>
      <c r="E28" s="2111"/>
      <c r="F28" s="420">
        <f>SUMIF(91:91,E28,92:92)-SUMIF(91:91,C28,92:92)+100</f>
        <v>100</v>
      </c>
      <c r="G28" s="2120"/>
      <c r="H28" s="420">
        <f>SUMIF(91:91,G28,92:92)-SUMIF(91:91,C28,92:92)+100</f>
        <v>100</v>
      </c>
      <c r="I28" s="2111"/>
      <c r="J28" s="420">
        <f>SUMIF(91:91,I28,92:92)-SUMIF(91:91,C28,92:92)+100</f>
        <v>100</v>
      </c>
      <c r="K28" s="568"/>
      <c r="L28" s="2915"/>
      <c r="M28" s="2916"/>
      <c r="N28" s="2916"/>
      <c r="O28" s="2916"/>
      <c r="P28" s="3530"/>
      <c r="Q28" s="1496" t="str">
        <f t="shared" si="11"/>
        <v>朝向</v>
      </c>
      <c r="R28" s="709" t="s">
        <v>17</v>
      </c>
      <c r="S28" s="710">
        <f>F28</f>
        <v>100</v>
      </c>
      <c r="T28" s="709" t="s">
        <v>17</v>
      </c>
      <c r="U28" s="710">
        <f>H28</f>
        <v>100</v>
      </c>
      <c r="V28" s="709" t="s">
        <v>17</v>
      </c>
      <c r="W28" s="710">
        <f>J28</f>
        <v>100</v>
      </c>
      <c r="X28" s="711"/>
      <c r="Y28" s="3361"/>
      <c r="Z28" s="55" t="str">
        <f>Q28</f>
        <v>朝向</v>
      </c>
      <c r="AA28" s="1506">
        <f>D28/F28</f>
        <v>1</v>
      </c>
      <c r="AB28" s="1506">
        <f>D28/H28</f>
        <v>1</v>
      </c>
      <c r="AC28" s="2117">
        <f>D28/J28</f>
        <v>1</v>
      </c>
    </row>
    <row r="29" spans="1:29" ht="15">
      <c r="A29" s="386"/>
      <c r="B29" s="2121">
        <v>111</v>
      </c>
      <c r="C29" s="2063"/>
      <c r="D29" s="393">
        <v>100</v>
      </c>
      <c r="E29" s="390"/>
      <c r="F29" s="393">
        <f>SUMIF(93:93,E29,94:94)-SUMIF(93:93,C29,94:94)+100</f>
        <v>100</v>
      </c>
      <c r="G29" s="2115"/>
      <c r="H29" s="393">
        <f>SUMIF(93:93,G29,94:94)-SUMIF(93:93,C29,94:94)+100</f>
        <v>100</v>
      </c>
      <c r="I29" s="390"/>
      <c r="J29" s="393">
        <f>SUMIF(93:93,I29,94:94)-SUMIF(93:93,C29,94:94)+100</f>
        <v>100</v>
      </c>
      <c r="K29" s="569"/>
      <c r="L29" s="2920"/>
      <c r="M29" s="2914"/>
      <c r="N29" s="2914"/>
      <c r="O29" s="2914"/>
      <c r="P29" s="3530"/>
      <c r="Q29" s="1505">
        <f t="shared" si="11"/>
        <v>111</v>
      </c>
      <c r="R29" s="713" t="s">
        <v>17</v>
      </c>
      <c r="S29" s="714">
        <f t="shared" ref="S29:S47" si="12">F29</f>
        <v>100</v>
      </c>
      <c r="T29" s="713" t="s">
        <v>17</v>
      </c>
      <c r="U29" s="714">
        <f t="shared" ref="U29:U47" si="13">H29</f>
        <v>100</v>
      </c>
      <c r="V29" s="713" t="s">
        <v>17</v>
      </c>
      <c r="W29" s="714">
        <f t="shared" ref="W29:W47" si="14">J29</f>
        <v>100</v>
      </c>
      <c r="X29" s="1508"/>
      <c r="Y29" s="3361"/>
      <c r="Z29" s="1509">
        <f t="shared" ref="Z29:Z47" si="15">Q29</f>
        <v>111</v>
      </c>
      <c r="AA29" s="1506">
        <f t="shared" si="3"/>
        <v>1</v>
      </c>
      <c r="AB29" s="1506">
        <f t="shared" si="4"/>
        <v>1</v>
      </c>
      <c r="AC29" s="2117">
        <f t="shared" si="5"/>
        <v>1</v>
      </c>
    </row>
    <row r="30" spans="1:29" ht="15">
      <c r="A30" s="386"/>
      <c r="B30" s="2121">
        <v>111</v>
      </c>
      <c r="C30" s="2063"/>
      <c r="D30" s="393">
        <v>100</v>
      </c>
      <c r="E30" s="390"/>
      <c r="F30" s="393">
        <f>SUMIF(95:95,E30,96:96)-SUMIF(95:95,C30,96:96)+100</f>
        <v>100</v>
      </c>
      <c r="G30" s="2115"/>
      <c r="H30" s="393">
        <f>SUMIF(95:95,G30,96:96)-SUMIF(95:95,C30,96:96)+100</f>
        <v>100</v>
      </c>
      <c r="I30" s="390"/>
      <c r="J30" s="393">
        <f>SUMIF(95:95,I30,96:96)-SUMIF(95:95,C30,96:96)+100</f>
        <v>100</v>
      </c>
      <c r="K30" s="569"/>
      <c r="L30" s="2920"/>
      <c r="M30" s="2914"/>
      <c r="N30" s="2914"/>
      <c r="O30" s="2914"/>
      <c r="P30" s="3530"/>
      <c r="Q30" s="1505">
        <f t="shared" si="11"/>
        <v>111</v>
      </c>
      <c r="R30" s="713" t="s">
        <v>17</v>
      </c>
      <c r="S30" s="714">
        <f t="shared" si="12"/>
        <v>100</v>
      </c>
      <c r="T30" s="713" t="s">
        <v>17</v>
      </c>
      <c r="U30" s="714">
        <f t="shared" si="13"/>
        <v>100</v>
      </c>
      <c r="V30" s="713" t="s">
        <v>17</v>
      </c>
      <c r="W30" s="714">
        <f t="shared" si="14"/>
        <v>100</v>
      </c>
      <c r="X30" s="1508"/>
      <c r="Y30" s="3361"/>
      <c r="Z30" s="1509">
        <f t="shared" si="15"/>
        <v>111</v>
      </c>
      <c r="AA30" s="1506">
        <f t="shared" si="3"/>
        <v>1</v>
      </c>
      <c r="AB30" s="1506">
        <f t="shared" si="4"/>
        <v>1</v>
      </c>
      <c r="AC30" s="2117">
        <f t="shared" si="5"/>
        <v>1</v>
      </c>
    </row>
    <row r="31" spans="1:29" ht="15">
      <c r="A31" s="386"/>
      <c r="B31" s="2121">
        <v>111</v>
      </c>
      <c r="C31" s="2063"/>
      <c r="D31" s="393">
        <v>100</v>
      </c>
      <c r="E31" s="390"/>
      <c r="F31" s="393">
        <f>SUMIF(97:97,E31,98:98)-SUMIF(97:97,C31,98:98)+100</f>
        <v>100</v>
      </c>
      <c r="G31" s="2115"/>
      <c r="H31" s="393">
        <f>SUMIF(97:97,G31,98:98)-SUMIF(97:97,C31,98:98)+100</f>
        <v>100</v>
      </c>
      <c r="I31" s="390"/>
      <c r="J31" s="393">
        <f>SUMIF(97:97,I31,98:98)-SUMIF(97:97,C31,98:98)+100</f>
        <v>100</v>
      </c>
      <c r="K31" s="569"/>
      <c r="L31" s="2920"/>
      <c r="M31" s="2914"/>
      <c r="N31" s="2914"/>
      <c r="O31" s="2914"/>
      <c r="P31" s="3530"/>
      <c r="Q31" s="1505">
        <f t="shared" si="11"/>
        <v>111</v>
      </c>
      <c r="R31" s="713" t="s">
        <v>17</v>
      </c>
      <c r="S31" s="714">
        <f t="shared" si="12"/>
        <v>100</v>
      </c>
      <c r="T31" s="713" t="s">
        <v>17</v>
      </c>
      <c r="U31" s="714">
        <f t="shared" si="13"/>
        <v>100</v>
      </c>
      <c r="V31" s="713" t="s">
        <v>17</v>
      </c>
      <c r="W31" s="714">
        <f t="shared" si="14"/>
        <v>100</v>
      </c>
      <c r="X31" s="1508"/>
      <c r="Y31" s="3361"/>
      <c r="Z31" s="1509">
        <f t="shared" si="15"/>
        <v>111</v>
      </c>
      <c r="AA31" s="1506">
        <f t="shared" si="3"/>
        <v>1</v>
      </c>
      <c r="AB31" s="1506">
        <f t="shared" si="4"/>
        <v>1</v>
      </c>
      <c r="AC31" s="2117">
        <f t="shared" si="5"/>
        <v>1</v>
      </c>
    </row>
    <row r="32" spans="1:29" ht="15.75" thickBot="1">
      <c r="A32" s="394"/>
      <c r="B32" s="590">
        <v>111</v>
      </c>
      <c r="C32" s="2064"/>
      <c r="D32" s="396">
        <v>100</v>
      </c>
      <c r="E32" s="583"/>
      <c r="F32" s="396">
        <f>SUMIF(99:99,E32,100:100)-SUMIF(99:99,C32,100:100)+100</f>
        <v>100</v>
      </c>
      <c r="G32" s="2115"/>
      <c r="H32" s="396">
        <f>SUMIF(99:99,G32,100:100)-SUMIF(99:99,C32,100:100)+100</f>
        <v>100</v>
      </c>
      <c r="I32" s="390"/>
      <c r="J32" s="396">
        <f>SUMIF(99:99,I32,100:100)-SUMIF(99:99,C32,100:100)+100</f>
        <v>100</v>
      </c>
      <c r="K32" s="569"/>
      <c r="L32" s="2920"/>
      <c r="M32" s="2914"/>
      <c r="N32" s="2914"/>
      <c r="O32" s="2914"/>
      <c r="P32" s="3530"/>
      <c r="Q32" s="1505">
        <f t="shared" si="11"/>
        <v>111</v>
      </c>
      <c r="R32" s="713" t="s">
        <v>17</v>
      </c>
      <c r="S32" s="714">
        <f t="shared" si="12"/>
        <v>100</v>
      </c>
      <c r="T32" s="713" t="s">
        <v>17</v>
      </c>
      <c r="U32" s="714">
        <f t="shared" si="13"/>
        <v>100</v>
      </c>
      <c r="V32" s="713" t="s">
        <v>17</v>
      </c>
      <c r="W32" s="714">
        <f t="shared" si="14"/>
        <v>100</v>
      </c>
      <c r="X32" s="1508"/>
      <c r="Y32" s="3361"/>
      <c r="Z32" s="1509">
        <f t="shared" si="15"/>
        <v>111</v>
      </c>
      <c r="AA32" s="1506">
        <f t="shared" si="3"/>
        <v>1</v>
      </c>
      <c r="AB32" s="1506">
        <f t="shared" si="4"/>
        <v>1</v>
      </c>
      <c r="AC32" s="2117">
        <f t="shared" si="5"/>
        <v>1</v>
      </c>
    </row>
    <row r="33" spans="1:29" ht="15">
      <c r="A33" s="398" t="s">
        <v>2324</v>
      </c>
      <c r="B33" s="67" t="s">
        <v>2454</v>
      </c>
      <c r="C33" s="2122"/>
      <c r="D33" s="425">
        <v>100</v>
      </c>
      <c r="E33" s="2122"/>
      <c r="F33" s="419">
        <f>SUMIF(101:101,E33,102:102)-SUMIF(101:101,C33,102:102)+100</f>
        <v>100</v>
      </c>
      <c r="G33" s="2122"/>
      <c r="H33" s="393">
        <f>SUMIF(101:101,G33,102:102)-SUMIF(101:101,C33,102:102)+100</f>
        <v>100</v>
      </c>
      <c r="I33" s="2122"/>
      <c r="J33" s="425">
        <f>SUMIF(101:101,I33,102:102)-SUMIF(101:101,C33,102:102)+100</f>
        <v>100</v>
      </c>
      <c r="K33" s="568"/>
      <c r="L33" s="2920"/>
      <c r="M33" s="2914"/>
      <c r="N33" s="2914"/>
      <c r="O33" s="2914"/>
      <c r="P33" s="3525" t="s">
        <v>2326</v>
      </c>
      <c r="Q33" s="1505" t="str">
        <f t="shared" si="11"/>
        <v>建筑类型</v>
      </c>
      <c r="R33" s="713" t="s">
        <v>17</v>
      </c>
      <c r="S33" s="714">
        <f t="shared" si="12"/>
        <v>100</v>
      </c>
      <c r="T33" s="713" t="s">
        <v>17</v>
      </c>
      <c r="U33" s="714">
        <f t="shared" si="13"/>
        <v>100</v>
      </c>
      <c r="V33" s="713" t="s">
        <v>17</v>
      </c>
      <c r="W33" s="714">
        <f t="shared" si="14"/>
        <v>100</v>
      </c>
      <c r="X33" s="1508"/>
      <c r="Y33" s="3363" t="s">
        <v>2326</v>
      </c>
      <c r="Z33" s="1509" t="str">
        <f t="shared" si="15"/>
        <v>建筑类型</v>
      </c>
      <c r="AA33" s="1506">
        <f t="shared" si="3"/>
        <v>1</v>
      </c>
      <c r="AB33" s="1506">
        <f t="shared" si="4"/>
        <v>1</v>
      </c>
      <c r="AC33" s="2117">
        <f t="shared" si="5"/>
        <v>1</v>
      </c>
    </row>
    <row r="34" spans="1:29" s="429" customFormat="1" ht="15">
      <c r="A34" s="426"/>
      <c r="B34" s="380" t="s">
        <v>2327</v>
      </c>
      <c r="C34" s="427"/>
      <c r="D34" s="132">
        <v>100</v>
      </c>
      <c r="E34" s="388"/>
      <c r="F34" s="383" t="e">
        <f>LOOKUP(E34,104:104,105:105)-LOOKUP(C34,104:104,105:105)+100</f>
        <v>#N/A</v>
      </c>
      <c r="G34" s="387"/>
      <c r="H34" s="132" t="e">
        <f>LOOKUP(G34,104:104,105:105)-LOOKUP(C34,104:104,105:105)+100</f>
        <v>#N/A</v>
      </c>
      <c r="I34" s="387"/>
      <c r="J34" s="132" t="e">
        <f>LOOKUP(I34,104:104,105:105)-LOOKUP(C34,104:104,105:105)+100</f>
        <v>#N/A</v>
      </c>
      <c r="K34" s="569"/>
      <c r="L34" s="2919"/>
      <c r="M34" s="2921"/>
      <c r="N34" s="2921"/>
      <c r="O34" s="2921"/>
      <c r="P34" s="3526"/>
      <c r="Q34" s="715" t="str">
        <f t="shared" si="11"/>
        <v>项目建筑规模</v>
      </c>
      <c r="R34" s="716" t="s">
        <v>17</v>
      </c>
      <c r="S34" s="717" t="e">
        <f t="shared" si="12"/>
        <v>#N/A</v>
      </c>
      <c r="T34" s="716" t="s">
        <v>17</v>
      </c>
      <c r="U34" s="717" t="e">
        <f t="shared" si="13"/>
        <v>#N/A</v>
      </c>
      <c r="V34" s="716" t="s">
        <v>17</v>
      </c>
      <c r="W34" s="717" t="e">
        <f t="shared" si="14"/>
        <v>#N/A</v>
      </c>
      <c r="X34" s="718"/>
      <c r="Y34" s="3363"/>
      <c r="Z34" s="719" t="str">
        <f t="shared" si="15"/>
        <v>项目建筑规模</v>
      </c>
      <c r="AA34" s="1506" t="e">
        <f t="shared" si="3"/>
        <v>#N/A</v>
      </c>
      <c r="AB34" s="1506" t="e">
        <f t="shared" si="4"/>
        <v>#N/A</v>
      </c>
      <c r="AC34" s="2117"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20"/>
      <c r="M35" s="2914"/>
      <c r="N35" s="2914"/>
      <c r="O35" s="2914"/>
      <c r="P35" s="3526"/>
      <c r="Q35" s="1505" t="str">
        <f t="shared" si="11"/>
        <v>建筑结构</v>
      </c>
      <c r="R35" s="713" t="s">
        <v>17</v>
      </c>
      <c r="S35" s="714">
        <f t="shared" si="12"/>
        <v>100</v>
      </c>
      <c r="T35" s="713" t="s">
        <v>17</v>
      </c>
      <c r="U35" s="714">
        <f t="shared" si="13"/>
        <v>100</v>
      </c>
      <c r="V35" s="713" t="s">
        <v>17</v>
      </c>
      <c r="W35" s="714">
        <f t="shared" si="14"/>
        <v>100</v>
      </c>
      <c r="X35" s="1508"/>
      <c r="Y35" s="3363"/>
      <c r="Z35" s="1509" t="str">
        <f t="shared" si="15"/>
        <v>建筑结构</v>
      </c>
      <c r="AA35" s="1506">
        <f t="shared" si="3"/>
        <v>1</v>
      </c>
      <c r="AB35" s="1506">
        <f t="shared" si="4"/>
        <v>1</v>
      </c>
      <c r="AC35" s="2117">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20"/>
      <c r="M36" s="2914"/>
      <c r="N36" s="2914"/>
      <c r="O36" s="2914"/>
      <c r="P36" s="3526"/>
      <c r="Q36" s="1505" t="str">
        <f t="shared" si="11"/>
        <v>公共部分装修</v>
      </c>
      <c r="R36" s="713" t="s">
        <v>17</v>
      </c>
      <c r="S36" s="714">
        <f t="shared" si="12"/>
        <v>100</v>
      </c>
      <c r="T36" s="713" t="s">
        <v>17</v>
      </c>
      <c r="U36" s="714">
        <f t="shared" si="13"/>
        <v>100</v>
      </c>
      <c r="V36" s="713" t="s">
        <v>17</v>
      </c>
      <c r="W36" s="714">
        <f t="shared" si="14"/>
        <v>100</v>
      </c>
      <c r="X36" s="1508"/>
      <c r="Y36" s="3363"/>
      <c r="Z36" s="1509" t="str">
        <f t="shared" si="15"/>
        <v>公共部分装修</v>
      </c>
      <c r="AA36" s="1506">
        <f t="shared" si="3"/>
        <v>1</v>
      </c>
      <c r="AB36" s="1506">
        <f t="shared" si="4"/>
        <v>1</v>
      </c>
      <c r="AC36" s="2117">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20"/>
      <c r="M37" s="2914"/>
      <c r="N37" s="2914"/>
      <c r="O37" s="2914"/>
      <c r="P37" s="3526"/>
      <c r="Q37" s="1505" t="str">
        <f t="shared" si="11"/>
        <v>成新度</v>
      </c>
      <c r="R37" s="713" t="s">
        <v>17</v>
      </c>
      <c r="S37" s="714" t="e">
        <f t="shared" si="12"/>
        <v>#N/A</v>
      </c>
      <c r="T37" s="713" t="s">
        <v>17</v>
      </c>
      <c r="U37" s="714" t="e">
        <f t="shared" si="13"/>
        <v>#N/A</v>
      </c>
      <c r="V37" s="713" t="s">
        <v>17</v>
      </c>
      <c r="W37" s="714" t="e">
        <f t="shared" si="14"/>
        <v>#N/A</v>
      </c>
      <c r="X37" s="1508"/>
      <c r="Y37" s="3363"/>
      <c r="Z37" s="1509" t="str">
        <f t="shared" si="15"/>
        <v>成新度</v>
      </c>
      <c r="AA37" s="1506" t="e">
        <f t="shared" si="3"/>
        <v>#N/A</v>
      </c>
      <c r="AB37" s="1506" t="e">
        <f t="shared" si="4"/>
        <v>#N/A</v>
      </c>
      <c r="AC37" s="2117" t="e">
        <f t="shared" si="5"/>
        <v>#N/A</v>
      </c>
    </row>
    <row r="38" spans="1:29" s="113" customFormat="1" ht="15">
      <c r="A38" s="431"/>
      <c r="B38" s="380" t="s">
        <v>2455</v>
      </c>
      <c r="C38" s="418"/>
      <c r="D38" s="132">
        <v>100</v>
      </c>
      <c r="E38" s="418"/>
      <c r="F38" s="419">
        <f>SUMIF(113:113,E38,114:114)-SUMIF(113:113,C38,114:114)+100</f>
        <v>100</v>
      </c>
      <c r="G38" s="418"/>
      <c r="H38" s="393">
        <f>SUMIF(113:113,G38,114:114)-SUMIF(113:113,C38,114:114)+100</f>
        <v>100</v>
      </c>
      <c r="I38" s="418"/>
      <c r="J38" s="393">
        <f>SUMIF(113:113,I38,114:114)-SUMIF(113:113,C38,114:114)+100</f>
        <v>100</v>
      </c>
      <c r="K38" s="568"/>
      <c r="L38" s="2915"/>
      <c r="M38" s="2916"/>
      <c r="N38" s="2916"/>
      <c r="O38" s="2916"/>
      <c r="P38" s="3526"/>
      <c r="Q38" s="1496" t="str">
        <f t="shared" si="11"/>
        <v>写字楼等级</v>
      </c>
      <c r="R38" s="709" t="s">
        <v>17</v>
      </c>
      <c r="S38" s="710">
        <f t="shared" si="12"/>
        <v>100</v>
      </c>
      <c r="T38" s="709" t="s">
        <v>17</v>
      </c>
      <c r="U38" s="710">
        <f t="shared" si="13"/>
        <v>100</v>
      </c>
      <c r="V38" s="709" t="s">
        <v>17</v>
      </c>
      <c r="W38" s="710">
        <f t="shared" si="14"/>
        <v>100</v>
      </c>
      <c r="X38" s="711"/>
      <c r="Y38" s="3363"/>
      <c r="Z38" s="55" t="str">
        <f t="shared" si="15"/>
        <v>写字楼等级</v>
      </c>
      <c r="AA38" s="712">
        <f t="shared" si="3"/>
        <v>1</v>
      </c>
      <c r="AB38" s="712">
        <f t="shared" si="4"/>
        <v>1</v>
      </c>
      <c r="AC38" s="2114">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20"/>
      <c r="M39" s="2914"/>
      <c r="N39" s="2914"/>
      <c r="O39" s="2914"/>
      <c r="P39" s="3526" t="s">
        <v>2326</v>
      </c>
      <c r="Q39" s="1505" t="str">
        <f t="shared" si="11"/>
        <v>物业管理</v>
      </c>
      <c r="R39" s="713" t="s">
        <v>17</v>
      </c>
      <c r="S39" s="714">
        <f t="shared" si="12"/>
        <v>100</v>
      </c>
      <c r="T39" s="713" t="s">
        <v>17</v>
      </c>
      <c r="U39" s="714">
        <f t="shared" si="13"/>
        <v>100</v>
      </c>
      <c r="V39" s="713" t="s">
        <v>17</v>
      </c>
      <c r="W39" s="714">
        <f t="shared" si="14"/>
        <v>100</v>
      </c>
      <c r="X39" s="1508"/>
      <c r="Y39" s="3363" t="s">
        <v>2326</v>
      </c>
      <c r="Z39" s="1509" t="str">
        <f t="shared" si="15"/>
        <v>物业管理</v>
      </c>
      <c r="AA39" s="1506">
        <f t="shared" si="3"/>
        <v>1</v>
      </c>
      <c r="AB39" s="1506">
        <f t="shared" si="4"/>
        <v>1</v>
      </c>
      <c r="AC39" s="2117">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20"/>
      <c r="M40" s="2914"/>
      <c r="N40" s="2914"/>
      <c r="O40" s="2914"/>
      <c r="P40" s="3526"/>
      <c r="Q40" s="1505" t="str">
        <f t="shared" si="11"/>
        <v>市政基础设施</v>
      </c>
      <c r="R40" s="713" t="s">
        <v>17</v>
      </c>
      <c r="S40" s="714">
        <f t="shared" si="12"/>
        <v>100</v>
      </c>
      <c r="T40" s="713" t="s">
        <v>17</v>
      </c>
      <c r="U40" s="714">
        <f t="shared" si="13"/>
        <v>100</v>
      </c>
      <c r="V40" s="713" t="s">
        <v>17</v>
      </c>
      <c r="W40" s="714">
        <f t="shared" si="14"/>
        <v>100</v>
      </c>
      <c r="X40" s="1508"/>
      <c r="Y40" s="3363"/>
      <c r="Z40" s="1509" t="str">
        <f t="shared" si="15"/>
        <v>市政基础设施</v>
      </c>
      <c r="AA40" s="1506">
        <f t="shared" si="3"/>
        <v>1</v>
      </c>
      <c r="AB40" s="1506">
        <f t="shared" si="4"/>
        <v>1</v>
      </c>
      <c r="AC40" s="2117">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20"/>
      <c r="M41" s="2914"/>
      <c r="N41" s="2914"/>
      <c r="O41" s="2914"/>
      <c r="P41" s="3526"/>
      <c r="Q41" s="1505" t="str">
        <f t="shared" si="11"/>
        <v>层高</v>
      </c>
      <c r="R41" s="713" t="s">
        <v>17</v>
      </c>
      <c r="S41" s="714">
        <f t="shared" si="12"/>
        <v>100</v>
      </c>
      <c r="T41" s="713" t="s">
        <v>17</v>
      </c>
      <c r="U41" s="714">
        <f t="shared" si="13"/>
        <v>100</v>
      </c>
      <c r="V41" s="713" t="s">
        <v>17</v>
      </c>
      <c r="W41" s="714">
        <f t="shared" si="14"/>
        <v>100</v>
      </c>
      <c r="X41" s="1508"/>
      <c r="Y41" s="3363"/>
      <c r="Z41" s="1509" t="str">
        <f t="shared" si="15"/>
        <v>层高</v>
      </c>
      <c r="AA41" s="1506">
        <f t="shared" si="3"/>
        <v>1</v>
      </c>
      <c r="AB41" s="1506">
        <f t="shared" si="4"/>
        <v>1</v>
      </c>
      <c r="AC41" s="2117">
        <f t="shared" si="5"/>
        <v>1</v>
      </c>
    </row>
    <row r="42" spans="1:29" s="429" customFormat="1" ht="15">
      <c r="A42" s="426"/>
      <c r="B42" s="1507"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9"/>
      <c r="M42" s="2921"/>
      <c r="N42" s="2921"/>
      <c r="O42" s="2921"/>
      <c r="P42" s="3526"/>
      <c r="Q42" s="715" t="str">
        <f t="shared" si="11"/>
        <v>单套建筑面积</v>
      </c>
      <c r="R42" s="716" t="s">
        <v>17</v>
      </c>
      <c r="S42" s="717">
        <f t="shared" si="12"/>
        <v>100</v>
      </c>
      <c r="T42" s="716" t="s">
        <v>17</v>
      </c>
      <c r="U42" s="717">
        <f t="shared" si="13"/>
        <v>100</v>
      </c>
      <c r="V42" s="716" t="s">
        <v>17</v>
      </c>
      <c r="W42" s="717">
        <f t="shared" si="14"/>
        <v>100</v>
      </c>
      <c r="X42" s="718"/>
      <c r="Y42" s="3363"/>
      <c r="Z42" s="719" t="str">
        <f t="shared" si="15"/>
        <v>单套建筑面积</v>
      </c>
      <c r="AA42" s="1506">
        <f t="shared" si="3"/>
        <v>1</v>
      </c>
      <c r="AB42" s="1506">
        <f t="shared" si="4"/>
        <v>1</v>
      </c>
      <c r="AC42" s="2117">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20"/>
      <c r="M43" s="2914"/>
      <c r="N43" s="2914"/>
      <c r="O43" s="2914"/>
      <c r="P43" s="3526"/>
      <c r="Q43" s="1505" t="str">
        <f t="shared" si="11"/>
        <v>内部装修</v>
      </c>
      <c r="R43" s="713" t="s">
        <v>17</v>
      </c>
      <c r="S43" s="714">
        <f t="shared" si="12"/>
        <v>100</v>
      </c>
      <c r="T43" s="713" t="s">
        <v>17</v>
      </c>
      <c r="U43" s="714">
        <f t="shared" si="13"/>
        <v>100</v>
      </c>
      <c r="V43" s="713" t="s">
        <v>17</v>
      </c>
      <c r="W43" s="714">
        <f t="shared" si="14"/>
        <v>100</v>
      </c>
      <c r="X43" s="1508"/>
      <c r="Y43" s="3363"/>
      <c r="Z43" s="1509" t="str">
        <f t="shared" si="15"/>
        <v>内部装修</v>
      </c>
      <c r="AA43" s="1506">
        <f t="shared" si="3"/>
        <v>1</v>
      </c>
      <c r="AB43" s="1506">
        <f t="shared" si="4"/>
        <v>1</v>
      </c>
      <c r="AC43" s="2117">
        <f t="shared" si="5"/>
        <v>1</v>
      </c>
    </row>
    <row r="44" spans="1:29" ht="15">
      <c r="A44" s="430"/>
      <c r="B44" s="380" t="s">
        <v>2337</v>
      </c>
      <c r="C44" s="418"/>
      <c r="D44" s="393">
        <v>100</v>
      </c>
      <c r="E44" s="2061"/>
      <c r="F44" s="419">
        <f>SUMIF(125:125,E44,126:126)-SUMIF(125:125,C44,126:126)+100</f>
        <v>100</v>
      </c>
      <c r="G44" s="2061"/>
      <c r="H44" s="393">
        <f>SUMIF(125:125,G44,126:126)-SUMIF(125:125,C44,126:126)+100</f>
        <v>100</v>
      </c>
      <c r="I44" s="2061"/>
      <c r="J44" s="393">
        <f>SUMIF(125:125,I44,126:126)-SUMIF(125:125,C44,126:126)+100</f>
        <v>100</v>
      </c>
      <c r="K44" s="568"/>
      <c r="L44" s="2920"/>
      <c r="M44" s="2914"/>
      <c r="N44" s="2914"/>
      <c r="O44" s="2914"/>
      <c r="P44" s="3526"/>
      <c r="Q44" s="1505" t="str">
        <f t="shared" si="11"/>
        <v>内部装修维护情况</v>
      </c>
      <c r="R44" s="713" t="s">
        <v>17</v>
      </c>
      <c r="S44" s="714">
        <f t="shared" si="12"/>
        <v>100</v>
      </c>
      <c r="T44" s="713" t="s">
        <v>17</v>
      </c>
      <c r="U44" s="714">
        <f t="shared" si="13"/>
        <v>100</v>
      </c>
      <c r="V44" s="713" t="s">
        <v>17</v>
      </c>
      <c r="W44" s="714">
        <f t="shared" si="14"/>
        <v>100</v>
      </c>
      <c r="X44" s="1508"/>
      <c r="Y44" s="3363"/>
      <c r="Z44" s="1509" t="str">
        <f t="shared" si="15"/>
        <v>内部装修维护情况</v>
      </c>
      <c r="AA44" s="1506">
        <f t="shared" si="3"/>
        <v>1</v>
      </c>
      <c r="AB44" s="1506">
        <f t="shared" si="4"/>
        <v>1</v>
      </c>
      <c r="AC44" s="2117">
        <f t="shared" si="5"/>
        <v>1</v>
      </c>
    </row>
    <row r="45" spans="1:29" s="113" customFormat="1" ht="15">
      <c r="A45" s="431"/>
      <c r="B45" s="1266">
        <v>111</v>
      </c>
      <c r="C45" s="427"/>
      <c r="D45" s="132">
        <v>100</v>
      </c>
      <c r="E45" s="390"/>
      <c r="F45" s="383">
        <f>SUMIF(127:127,E45,128:128)-SUMIF(127:127,C45,128:128)+100</f>
        <v>100</v>
      </c>
      <c r="G45" s="390"/>
      <c r="H45" s="132">
        <f>SUMIF(127:127,G45,128:128)-SUMIF(127:127,C45,128:128)+100</f>
        <v>100</v>
      </c>
      <c r="I45" s="390"/>
      <c r="J45" s="132">
        <f>SUMIF(127:127,I45,128:128)-SUMIF(127:127,C45,128:128)+100</f>
        <v>100</v>
      </c>
      <c r="K45" s="569"/>
      <c r="L45" s="2915"/>
      <c r="M45" s="2916"/>
      <c r="N45" s="2916"/>
      <c r="O45" s="2916"/>
      <c r="P45" s="3526"/>
      <c r="Q45" s="1496">
        <f t="shared" si="11"/>
        <v>111</v>
      </c>
      <c r="R45" s="709" t="s">
        <v>17</v>
      </c>
      <c r="S45" s="710">
        <f t="shared" si="12"/>
        <v>100</v>
      </c>
      <c r="T45" s="709" t="s">
        <v>17</v>
      </c>
      <c r="U45" s="710">
        <f t="shared" si="13"/>
        <v>100</v>
      </c>
      <c r="V45" s="709" t="s">
        <v>17</v>
      </c>
      <c r="W45" s="710">
        <f t="shared" si="14"/>
        <v>100</v>
      </c>
      <c r="X45" s="711"/>
      <c r="Y45" s="3363"/>
      <c r="Z45" s="55">
        <f t="shared" si="15"/>
        <v>111</v>
      </c>
      <c r="AA45" s="712">
        <f t="shared" si="3"/>
        <v>1</v>
      </c>
      <c r="AB45" s="712">
        <f t="shared" si="4"/>
        <v>1</v>
      </c>
      <c r="AC45" s="2114">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20"/>
      <c r="M46" s="2914"/>
      <c r="N46" s="2914"/>
      <c r="O46" s="2914"/>
      <c r="P46" s="3526"/>
      <c r="Q46" s="1505">
        <f t="shared" si="11"/>
        <v>111</v>
      </c>
      <c r="R46" s="713" t="s">
        <v>17</v>
      </c>
      <c r="S46" s="714">
        <f t="shared" si="12"/>
        <v>100</v>
      </c>
      <c r="T46" s="713" t="s">
        <v>17</v>
      </c>
      <c r="U46" s="714">
        <f t="shared" si="13"/>
        <v>100</v>
      </c>
      <c r="V46" s="713" t="s">
        <v>17</v>
      </c>
      <c r="W46" s="714">
        <f t="shared" si="14"/>
        <v>100</v>
      </c>
      <c r="X46" s="1508"/>
      <c r="Y46" s="3363"/>
      <c r="Z46" s="1509">
        <f t="shared" si="15"/>
        <v>111</v>
      </c>
      <c r="AA46" s="1506">
        <f t="shared" si="3"/>
        <v>1</v>
      </c>
      <c r="AB46" s="1506">
        <f t="shared" si="4"/>
        <v>1</v>
      </c>
      <c r="AC46" s="2117">
        <f t="shared" si="5"/>
        <v>1</v>
      </c>
    </row>
    <row r="47" spans="1:29" ht="15.75" thickBot="1">
      <c r="A47" s="436"/>
      <c r="B47" s="2050">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20"/>
      <c r="M47" s="2914"/>
      <c r="N47" s="2914"/>
      <c r="O47" s="2914"/>
      <c r="P47" s="3527"/>
      <c r="Q47" s="1505">
        <f t="shared" si="11"/>
        <v>111</v>
      </c>
      <c r="R47" s="713" t="s">
        <v>17</v>
      </c>
      <c r="S47" s="714">
        <f t="shared" si="12"/>
        <v>100</v>
      </c>
      <c r="T47" s="713" t="s">
        <v>17</v>
      </c>
      <c r="U47" s="714">
        <f t="shared" si="13"/>
        <v>100</v>
      </c>
      <c r="V47" s="713" t="s">
        <v>17</v>
      </c>
      <c r="W47" s="714">
        <f t="shared" si="14"/>
        <v>100</v>
      </c>
      <c r="X47" s="1508"/>
      <c r="Y47" s="3528"/>
      <c r="Z47" s="1509">
        <f t="shared" si="15"/>
        <v>111</v>
      </c>
      <c r="AA47" s="1506">
        <f t="shared" si="3"/>
        <v>1</v>
      </c>
      <c r="AB47" s="1506">
        <f t="shared" si="4"/>
        <v>1</v>
      </c>
      <c r="AC47" s="2117">
        <f t="shared" si="5"/>
        <v>1</v>
      </c>
    </row>
    <row r="48" spans="1:29" ht="15">
      <c r="A48" s="437" t="s">
        <v>2338</v>
      </c>
      <c r="B48" s="438"/>
      <c r="C48" s="1287" t="s">
        <v>1</v>
      </c>
      <c r="D48" s="1288"/>
      <c r="E48" s="1289"/>
      <c r="F48" s="1290"/>
      <c r="G48" s="1291"/>
      <c r="H48" s="1292"/>
      <c r="I48" s="1289"/>
      <c r="J48" s="443"/>
      <c r="K48" s="722"/>
      <c r="L48" s="2922"/>
      <c r="M48" s="2914"/>
      <c r="N48" s="2914"/>
      <c r="O48" s="2914"/>
      <c r="P48" s="3531" t="str">
        <f>A48</f>
        <v>成交单价（元/平方米）</v>
      </c>
      <c r="Q48" s="3355"/>
      <c r="R48" s="3356">
        <f>E48</f>
        <v>0</v>
      </c>
      <c r="S48" s="3356"/>
      <c r="T48" s="3356">
        <f>G48</f>
        <v>0</v>
      </c>
      <c r="U48" s="3356"/>
      <c r="V48" s="3356">
        <f>I48</f>
        <v>0</v>
      </c>
      <c r="W48" s="3356"/>
      <c r="X48" s="404"/>
      <c r="Y48" s="720"/>
      <c r="Z48" s="404"/>
      <c r="AA48" s="404"/>
      <c r="AB48" s="404"/>
      <c r="AC48" s="585"/>
    </row>
    <row r="49" spans="1:29" ht="15.75" thickBot="1">
      <c r="A49" s="444" t="s">
        <v>2430</v>
      </c>
      <c r="B49" s="445"/>
      <c r="C49" s="1293" t="e">
        <f>R50</f>
        <v>#DIV/0!</v>
      </c>
      <c r="D49" s="2507" t="s">
        <v>2818</v>
      </c>
      <c r="E49" s="1294" t="e">
        <f>R49</f>
        <v>#DIV/0!</v>
      </c>
      <c r="F49" s="2508"/>
      <c r="G49" s="1293" t="e">
        <f>T49</f>
        <v>#DIV/0!</v>
      </c>
      <c r="H49" s="2508"/>
      <c r="I49" s="1294" t="e">
        <f>V49</f>
        <v>#DIV/0!</v>
      </c>
      <c r="J49" s="2508"/>
      <c r="K49" s="2510">
        <f>F49+H49+J49</f>
        <v>0</v>
      </c>
      <c r="L49" s="2922"/>
      <c r="M49" s="2914"/>
      <c r="N49" s="2914"/>
      <c r="O49" s="2914"/>
      <c r="P49" s="3531"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2"/>
      <c r="M50" s="2914"/>
      <c r="N50" s="2914"/>
      <c r="O50" s="2914"/>
      <c r="P50" s="3532" t="str">
        <f>A50</f>
        <v>估价对象XX用房的比较价值（楼面单价，元/平方米）</v>
      </c>
      <c r="Q50" s="3533"/>
      <c r="R50" s="3534" t="e">
        <f>IF(F1="售价",ROUND(IF(D49="简单平均",AVERAGE(R49:V49),R49*F49+T49*H49+V49*J49),0),ROUND(IF(D49="简单平均",AVERAGE(R49:V49),R49*F49+T49*H49+V49*J49),1))</f>
        <v>#DIV/0!</v>
      </c>
      <c r="S50" s="3534"/>
      <c r="T50" s="3534"/>
      <c r="U50" s="3534"/>
      <c r="V50" s="3534"/>
      <c r="W50" s="3534"/>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8" customFormat="1" ht="13.5" customHeight="1">
      <c r="A55" s="2926"/>
      <c r="B55" s="2926"/>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8"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2" t="s">
        <v>2435</v>
      </c>
      <c r="B58" s="698"/>
      <c r="C58" s="703"/>
      <c r="D58" s="703"/>
      <c r="E58" s="703"/>
      <c r="F58" s="704"/>
      <c r="G58" s="704"/>
      <c r="H58" s="703"/>
      <c r="I58" s="703"/>
      <c r="J58" s="703"/>
      <c r="K58" s="705"/>
      <c r="L58" s="1072"/>
      <c r="M58" s="1070"/>
      <c r="N58" s="2967"/>
      <c r="O58" s="2967"/>
      <c r="P58" s="2956"/>
      <c r="Q58" s="2937"/>
      <c r="R58" s="2923"/>
      <c r="S58" s="2923"/>
      <c r="T58" s="2923"/>
      <c r="U58" s="2923"/>
      <c r="V58" s="2923"/>
      <c r="W58" s="2923"/>
      <c r="X58" s="2923"/>
      <c r="Y58" s="2923"/>
      <c r="Z58" s="2923"/>
      <c r="AA58" s="2923"/>
      <c r="AB58" s="2923"/>
      <c r="AC58" s="2923"/>
    </row>
    <row r="59" spans="1:29" s="464" customFormat="1" ht="15">
      <c r="A59" s="461" t="s">
        <v>2309</v>
      </c>
      <c r="B59" s="462"/>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5"/>
      <c r="B60" s="466"/>
      <c r="C60" s="1316">
        <v>100</v>
      </c>
      <c r="D60" s="468"/>
      <c r="E60" s="468"/>
      <c r="F60" s="468"/>
      <c r="G60" s="468"/>
      <c r="H60" s="468"/>
      <c r="I60" s="468"/>
      <c r="J60" s="468"/>
      <c r="K60" s="468"/>
      <c r="L60" s="468"/>
      <c r="M60" s="469"/>
      <c r="N60" s="468"/>
      <c r="O60" s="469"/>
      <c r="P60" s="2958"/>
      <c r="Q60" s="2857"/>
      <c r="R60" s="2857"/>
      <c r="S60" s="2857"/>
      <c r="T60" s="2857"/>
      <c r="U60" s="2857"/>
      <c r="V60" s="2857"/>
      <c r="W60" s="2857"/>
      <c r="X60" s="2857"/>
      <c r="Y60" s="2857"/>
      <c r="Z60" s="2857"/>
      <c r="AA60" s="2857"/>
      <c r="AB60" s="2857"/>
      <c r="AC60" s="2857"/>
    </row>
    <row r="61" spans="1:29" s="113" customFormat="1" ht="15.75" thickBot="1">
      <c r="A61" s="471" t="s">
        <v>2346</v>
      </c>
      <c r="B61" s="472"/>
      <c r="C61" s="473"/>
      <c r="D61" s="474"/>
      <c r="E61" s="474"/>
      <c r="F61" s="474"/>
      <c r="G61" s="474"/>
      <c r="H61" s="474"/>
      <c r="I61" s="474"/>
      <c r="J61" s="474"/>
      <c r="K61" s="474"/>
      <c r="L61" s="474"/>
      <c r="M61" s="475"/>
      <c r="N61" s="474"/>
      <c r="O61" s="475"/>
      <c r="P61" s="2958"/>
      <c r="Q61" s="2937"/>
      <c r="R61" s="2857"/>
      <c r="S61" s="2857"/>
      <c r="T61" s="2857"/>
      <c r="U61" s="2857"/>
      <c r="V61" s="2857"/>
      <c r="W61" s="2857"/>
      <c r="X61" s="2857"/>
      <c r="Y61" s="2857"/>
      <c r="Z61" s="2857"/>
      <c r="AA61" s="2857"/>
      <c r="AB61" s="2857"/>
      <c r="AC61" s="2857"/>
    </row>
    <row r="62" spans="1:29" s="113" customFormat="1" ht="15">
      <c r="A62" s="477" t="s">
        <v>2311</v>
      </c>
      <c r="B62" s="466"/>
      <c r="C62" s="478" t="s">
        <v>2413</v>
      </c>
      <c r="D62" s="479"/>
      <c r="E62" s="479"/>
      <c r="F62" s="479"/>
      <c r="G62" s="479"/>
      <c r="H62" s="479"/>
      <c r="I62" s="479"/>
      <c r="J62" s="479"/>
      <c r="K62" s="479"/>
      <c r="L62" s="480"/>
      <c r="M62" s="481"/>
      <c r="N62" s="2950"/>
      <c r="O62" s="2950"/>
      <c r="P62" s="2959"/>
      <c r="Q62" s="2937"/>
      <c r="R62" s="2857"/>
      <c r="S62" s="2857"/>
      <c r="T62" s="2857"/>
      <c r="U62" s="2857"/>
      <c r="V62" s="2857"/>
      <c r="W62" s="2857"/>
      <c r="X62" s="2857"/>
      <c r="Y62" s="2857"/>
      <c r="Z62" s="2857"/>
      <c r="AA62" s="2857"/>
      <c r="AB62" s="2857"/>
      <c r="AC62" s="2857"/>
    </row>
    <row r="63" spans="1:29" s="113" customFormat="1" ht="15.75" thickBot="1">
      <c r="A63" s="477"/>
      <c r="B63" s="466"/>
      <c r="C63" s="467">
        <v>100</v>
      </c>
      <c r="D63" s="468"/>
      <c r="E63" s="468"/>
      <c r="F63" s="468"/>
      <c r="G63" s="468"/>
      <c r="H63" s="468"/>
      <c r="I63" s="468"/>
      <c r="J63" s="468"/>
      <c r="K63" s="468"/>
      <c r="L63" s="468"/>
      <c r="M63" s="470"/>
      <c r="N63" s="2950"/>
      <c r="O63" s="2950"/>
      <c r="P63" s="2958"/>
      <c r="Q63" s="2937"/>
      <c r="R63" s="2857"/>
      <c r="S63" s="2857"/>
      <c r="T63" s="2857"/>
      <c r="U63" s="2857"/>
      <c r="V63" s="2857"/>
      <c r="W63" s="2857"/>
      <c r="X63" s="2857"/>
      <c r="Y63" s="2857"/>
      <c r="Z63" s="2857"/>
      <c r="AA63" s="2857"/>
      <c r="AB63" s="2857"/>
      <c r="AC63" s="2857"/>
    </row>
    <row r="64" spans="1:29">
      <c r="A64" s="483" t="s">
        <v>2349</v>
      </c>
      <c r="B64" s="484" t="s">
        <v>2315</v>
      </c>
      <c r="C64" s="485">
        <f>C9</f>
        <v>0</v>
      </c>
      <c r="D64" s="486"/>
      <c r="E64" s="486"/>
      <c r="F64" s="486"/>
      <c r="G64" s="486"/>
      <c r="H64" s="486"/>
      <c r="I64" s="486"/>
      <c r="J64" s="486"/>
      <c r="K64" s="487"/>
      <c r="L64" s="488"/>
      <c r="M64" s="489"/>
      <c r="N64" s="2951"/>
      <c r="O64" s="2951"/>
      <c r="P64" s="2960"/>
      <c r="Q64" s="2937"/>
      <c r="R64" s="2923"/>
      <c r="S64" s="2923"/>
      <c r="T64" s="2923"/>
      <c r="U64" s="2923"/>
      <c r="V64" s="2923"/>
      <c r="W64" s="2923"/>
      <c r="X64" s="2923"/>
      <c r="Y64" s="2923"/>
      <c r="Z64" s="2923"/>
      <c r="AA64" s="2923"/>
      <c r="AB64" s="2923"/>
      <c r="AC64" s="2923"/>
    </row>
    <row r="65" spans="1:29" ht="15.75" thickBot="1">
      <c r="A65" s="490"/>
      <c r="B65" s="491"/>
      <c r="C65" s="492">
        <v>100</v>
      </c>
      <c r="D65" s="492"/>
      <c r="E65" s="492"/>
      <c r="F65" s="492"/>
      <c r="G65" s="492"/>
      <c r="H65" s="492"/>
      <c r="I65" s="492"/>
      <c r="J65" s="492"/>
      <c r="K65" s="492"/>
      <c r="L65" s="492"/>
      <c r="M65" s="493"/>
      <c r="N65" s="2952"/>
      <c r="O65" s="2952"/>
      <c r="P65" s="2960"/>
      <c r="Q65" s="2937"/>
      <c r="R65" s="2923"/>
      <c r="S65" s="2923"/>
      <c r="T65" s="2923"/>
      <c r="U65" s="2923"/>
      <c r="V65" s="2923"/>
      <c r="W65" s="2923"/>
      <c r="X65" s="2923"/>
      <c r="Y65" s="2923"/>
      <c r="Z65" s="2923"/>
      <c r="AA65" s="2923"/>
      <c r="AB65" s="2923"/>
      <c r="AC65" s="2923"/>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1"/>
      <c r="O66" s="2951"/>
      <c r="P66" s="2960"/>
      <c r="Q66" s="2937"/>
      <c r="R66" s="2923"/>
      <c r="S66" s="2923"/>
      <c r="T66" s="2923"/>
      <c r="U66" s="2923"/>
      <c r="V66" s="2923"/>
      <c r="W66" s="2923"/>
      <c r="X66" s="2923"/>
      <c r="Y66" s="2923"/>
      <c r="Z66" s="2923"/>
      <c r="AA66" s="2923"/>
      <c r="AB66" s="2923"/>
      <c r="AC66" s="2923"/>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2"/>
      <c r="O67" s="2952"/>
      <c r="P67" s="2960"/>
      <c r="Q67" s="2937"/>
      <c r="R67" s="2923"/>
      <c r="S67" s="2923"/>
      <c r="T67" s="2923"/>
      <c r="U67" s="2923"/>
      <c r="V67" s="2923"/>
      <c r="W67" s="2923"/>
      <c r="X67" s="2923"/>
      <c r="Y67" s="2923"/>
      <c r="Z67" s="2923"/>
      <c r="AA67" s="2923"/>
      <c r="AB67" s="2923"/>
      <c r="AC67" s="2923"/>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0"/>
      <c r="B69" s="504"/>
      <c r="C69" s="505"/>
      <c r="D69" s="505"/>
      <c r="E69" s="505"/>
      <c r="F69" s="505"/>
      <c r="G69" s="505"/>
      <c r="H69" s="505"/>
      <c r="I69" s="505"/>
      <c r="J69" s="505"/>
      <c r="K69" s="506"/>
      <c r="L69" s="507"/>
      <c r="M69" s="508"/>
      <c r="N69" s="2951"/>
      <c r="O69" s="2951"/>
      <c r="P69" s="2960"/>
      <c r="Q69" s="2937"/>
      <c r="R69" s="2923"/>
      <c r="S69" s="2923"/>
      <c r="T69" s="2923"/>
      <c r="U69" s="2923"/>
      <c r="V69" s="2923"/>
      <c r="W69" s="2923"/>
      <c r="X69" s="2923"/>
      <c r="Y69" s="2923"/>
      <c r="Z69" s="2923"/>
      <c r="AA69" s="2923"/>
      <c r="AB69" s="2923"/>
      <c r="AC69" s="2923"/>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2"/>
      <c r="O70" s="2952"/>
      <c r="P70" s="2960"/>
      <c r="Q70" s="2937"/>
      <c r="R70" s="2923"/>
      <c r="S70" s="2923"/>
      <c r="T70" s="2923"/>
      <c r="U70" s="2923"/>
      <c r="V70" s="2923"/>
      <c r="W70" s="2923"/>
      <c r="X70" s="2923"/>
      <c r="Y70" s="2923"/>
      <c r="Z70" s="2923"/>
      <c r="AA70" s="2923"/>
      <c r="AB70" s="2923"/>
      <c r="AC70" s="2923"/>
    </row>
    <row r="71" spans="1:29" s="429" customFormat="1" ht="15.75" thickTop="1">
      <c r="A71" s="509"/>
      <c r="B71" s="494">
        <f>B12</f>
        <v>111</v>
      </c>
      <c r="C71" s="510"/>
      <c r="D71" s="510"/>
      <c r="E71" s="510"/>
      <c r="F71" s="510"/>
      <c r="G71" s="510"/>
      <c r="H71" s="511"/>
      <c r="I71" s="511"/>
      <c r="J71" s="511"/>
      <c r="K71" s="511"/>
      <c r="L71" s="512"/>
      <c r="M71" s="513"/>
      <c r="N71" s="2953"/>
      <c r="O71" s="2953"/>
      <c r="P71" s="2961"/>
      <c r="Q71" s="2944"/>
      <c r="R71" s="2945"/>
      <c r="S71" s="2945"/>
      <c r="T71" s="2945"/>
      <c r="U71" s="2945"/>
      <c r="V71" s="2945"/>
      <c r="W71" s="2945"/>
      <c r="X71" s="2945"/>
      <c r="Y71" s="2945"/>
      <c r="Z71" s="2945"/>
      <c r="AA71" s="2945"/>
      <c r="AB71" s="2945"/>
      <c r="AC71" s="2945"/>
    </row>
    <row r="72" spans="1:29" s="429" customFormat="1" ht="15.75" thickBot="1">
      <c r="A72" s="509"/>
      <c r="B72" s="499"/>
      <c r="C72" s="516"/>
      <c r="D72" s="492"/>
      <c r="E72" s="492"/>
      <c r="F72" s="492"/>
      <c r="G72" s="492"/>
      <c r="H72" s="492"/>
      <c r="I72" s="492"/>
      <c r="J72" s="492"/>
      <c r="K72" s="492"/>
      <c r="L72" s="492"/>
      <c r="M72" s="493"/>
      <c r="N72" s="2952"/>
      <c r="O72" s="2952"/>
      <c r="P72" s="2961"/>
      <c r="Q72" s="2944"/>
      <c r="R72" s="2945"/>
      <c r="S72" s="2945"/>
      <c r="T72" s="2945"/>
      <c r="U72" s="2945"/>
      <c r="V72" s="2945"/>
      <c r="W72" s="2945"/>
      <c r="X72" s="2945"/>
      <c r="Y72" s="2945"/>
      <c r="Z72" s="2945"/>
      <c r="AA72" s="2945"/>
      <c r="AB72" s="2945"/>
      <c r="AC72" s="2945"/>
    </row>
    <row r="73" spans="1:29" s="429" customFormat="1" ht="15.75" thickTop="1">
      <c r="A73" s="509"/>
      <c r="B73" s="494">
        <f>B13</f>
        <v>111</v>
      </c>
      <c r="C73" s="510"/>
      <c r="D73" s="510"/>
      <c r="E73" s="510"/>
      <c r="F73" s="510"/>
      <c r="G73" s="510"/>
      <c r="H73" s="511"/>
      <c r="I73" s="511"/>
      <c r="J73" s="511"/>
      <c r="K73" s="511"/>
      <c r="L73" s="512"/>
      <c r="M73" s="513"/>
      <c r="N73" s="2953"/>
      <c r="O73" s="2953"/>
      <c r="P73" s="2962"/>
      <c r="Q73" s="2947"/>
      <c r="R73" s="2945"/>
      <c r="S73" s="2945"/>
      <c r="T73" s="2945"/>
      <c r="U73" s="2945"/>
      <c r="V73" s="2945"/>
      <c r="W73" s="2945"/>
      <c r="X73" s="2945"/>
      <c r="Y73" s="2945"/>
      <c r="Z73" s="2945"/>
      <c r="AA73" s="2945"/>
      <c r="AB73" s="2945"/>
      <c r="AC73" s="2945"/>
    </row>
    <row r="74" spans="1:29" s="429" customFormat="1" ht="15.75" thickBot="1">
      <c r="A74" s="509"/>
      <c r="B74" s="499"/>
      <c r="C74" s="516"/>
      <c r="D74" s="516"/>
      <c r="E74" s="516"/>
      <c r="F74" s="516"/>
      <c r="G74" s="516"/>
      <c r="H74" s="518"/>
      <c r="I74" s="518"/>
      <c r="J74" s="518"/>
      <c r="K74" s="518"/>
      <c r="L74" s="518"/>
      <c r="M74" s="519"/>
      <c r="N74" s="2953"/>
      <c r="O74" s="2953"/>
      <c r="P74" s="2961"/>
      <c r="Q74" s="2944"/>
      <c r="R74" s="2945"/>
      <c r="S74" s="2945"/>
      <c r="T74" s="2945"/>
      <c r="U74" s="2945"/>
      <c r="V74" s="2945"/>
      <c r="W74" s="2945"/>
      <c r="X74" s="2945"/>
      <c r="Y74" s="2945"/>
      <c r="Z74" s="2945"/>
      <c r="AA74" s="2945"/>
      <c r="AB74" s="2945"/>
      <c r="AC74" s="2945"/>
    </row>
    <row r="75" spans="1:29" s="429" customFormat="1" ht="15.75" thickTop="1">
      <c r="A75" s="509"/>
      <c r="B75" s="502">
        <f>B14</f>
        <v>111</v>
      </c>
      <c r="C75" s="479"/>
      <c r="D75" s="479"/>
      <c r="E75" s="479"/>
      <c r="F75" s="479"/>
      <c r="G75" s="479"/>
      <c r="H75" s="520"/>
      <c r="I75" s="520"/>
      <c r="J75" s="520"/>
      <c r="K75" s="520"/>
      <c r="L75" s="521"/>
      <c r="M75" s="522"/>
      <c r="N75" s="2953"/>
      <c r="O75" s="2953"/>
      <c r="P75" s="2963"/>
      <c r="Q75" s="2944"/>
      <c r="R75" s="2945"/>
      <c r="S75" s="2945"/>
      <c r="T75" s="2945"/>
      <c r="U75" s="2945"/>
      <c r="V75" s="2945"/>
      <c r="W75" s="2945"/>
      <c r="X75" s="2945"/>
      <c r="Y75" s="2945"/>
      <c r="Z75" s="2945"/>
      <c r="AA75" s="2945"/>
      <c r="AB75" s="2945"/>
      <c r="AC75" s="2945"/>
    </row>
    <row r="76" spans="1:29" s="429" customFormat="1" ht="15.75" thickBot="1">
      <c r="A76" s="524"/>
      <c r="B76" s="525"/>
      <c r="C76" s="526"/>
      <c r="D76" s="526"/>
      <c r="E76" s="526"/>
      <c r="F76" s="526"/>
      <c r="G76" s="526"/>
      <c r="H76" s="527"/>
      <c r="I76" s="527"/>
      <c r="J76" s="527"/>
      <c r="K76" s="527"/>
      <c r="L76" s="527"/>
      <c r="M76" s="528"/>
      <c r="N76" s="2953"/>
      <c r="O76" s="2953"/>
      <c r="P76" s="2961"/>
      <c r="Q76" s="2944"/>
      <c r="R76" s="2945"/>
      <c r="S76" s="2945"/>
      <c r="T76" s="2945"/>
      <c r="U76" s="2945"/>
      <c r="V76" s="2945"/>
      <c r="W76" s="2945"/>
      <c r="X76" s="2945"/>
      <c r="Y76" s="2945"/>
      <c r="Z76" s="2945"/>
      <c r="AA76" s="2945"/>
      <c r="AB76" s="2945"/>
      <c r="AC76" s="2945"/>
    </row>
    <row r="77" spans="1:29">
      <c r="A77" s="483" t="s">
        <v>2320</v>
      </c>
      <c r="B77" s="484" t="s">
        <v>2458</v>
      </c>
      <c r="C77" s="529" t="s">
        <v>2358</v>
      </c>
      <c r="D77" s="529" t="s">
        <v>2359</v>
      </c>
      <c r="E77" s="529" t="s">
        <v>2360</v>
      </c>
      <c r="F77" s="529" t="s">
        <v>2361</v>
      </c>
      <c r="G77" s="529" t="s">
        <v>2362</v>
      </c>
      <c r="H77" s="485"/>
      <c r="I77" s="485"/>
      <c r="J77" s="485"/>
      <c r="K77" s="530"/>
      <c r="L77" s="531"/>
      <c r="M77" s="532"/>
      <c r="N77" s="2951"/>
      <c r="O77" s="2951"/>
      <c r="P77" s="2964"/>
      <c r="Q77" s="2937"/>
      <c r="R77" s="2923"/>
      <c r="S77" s="2923"/>
      <c r="T77" s="2923"/>
      <c r="U77" s="2923"/>
      <c r="V77" s="2923"/>
      <c r="W77" s="2923"/>
      <c r="X77" s="2923"/>
      <c r="Y77" s="2923"/>
      <c r="Z77" s="2923"/>
      <c r="AA77" s="2923"/>
      <c r="AB77" s="2923"/>
      <c r="AC77" s="2923"/>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2"/>
      <c r="O78" s="2952"/>
      <c r="P78" s="2960"/>
      <c r="Q78" s="2937"/>
      <c r="R78" s="2923"/>
      <c r="S78" s="2923"/>
      <c r="T78" s="2923"/>
      <c r="U78" s="2923"/>
      <c r="V78" s="2923"/>
      <c r="W78" s="2923"/>
      <c r="X78" s="2923"/>
      <c r="Y78" s="2923"/>
      <c r="Z78" s="2923"/>
      <c r="AA78" s="2923"/>
      <c r="AB78" s="2923"/>
      <c r="AC78" s="2923"/>
    </row>
    <row r="79" spans="1:29" ht="15.75" thickTop="1">
      <c r="A79" s="490"/>
      <c r="B79" s="494" t="s">
        <v>2363</v>
      </c>
      <c r="C79" s="534" t="s">
        <v>2358</v>
      </c>
      <c r="D79" s="534" t="s">
        <v>2359</v>
      </c>
      <c r="E79" s="534" t="s">
        <v>2360</v>
      </c>
      <c r="F79" s="534" t="s">
        <v>2361</v>
      </c>
      <c r="G79" s="534" t="s">
        <v>2362</v>
      </c>
      <c r="H79" s="495"/>
      <c r="I79" s="495"/>
      <c r="J79" s="495"/>
      <c r="K79" s="496"/>
      <c r="L79" s="497"/>
      <c r="M79" s="498"/>
      <c r="N79" s="2951"/>
      <c r="O79" s="2951"/>
      <c r="P79" s="2960"/>
      <c r="Q79" s="2937"/>
      <c r="R79" s="2923"/>
      <c r="S79" s="2923"/>
      <c r="T79" s="2923"/>
      <c r="U79" s="2923"/>
      <c r="V79" s="2923"/>
      <c r="W79" s="2923"/>
      <c r="X79" s="2923"/>
      <c r="Y79" s="2923"/>
      <c r="Z79" s="2923"/>
      <c r="AA79" s="2923"/>
      <c r="AB79" s="2923"/>
      <c r="AC79" s="2923"/>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2"/>
      <c r="O80" s="2952"/>
      <c r="P80" s="2960"/>
      <c r="Q80" s="2937"/>
      <c r="R80" s="2923"/>
      <c r="S80" s="2923"/>
      <c r="T80" s="2923"/>
      <c r="U80" s="2923"/>
      <c r="V80" s="2923"/>
      <c r="W80" s="2923"/>
      <c r="X80" s="2923"/>
      <c r="Y80" s="2923"/>
      <c r="Z80" s="2923"/>
      <c r="AA80" s="2923"/>
      <c r="AB80" s="2923"/>
      <c r="AC80" s="2923"/>
    </row>
    <row r="81" spans="1:29" ht="15.75" thickTop="1">
      <c r="A81" s="490"/>
      <c r="B81" s="494" t="s">
        <v>2364</v>
      </c>
      <c r="C81" s="534" t="s">
        <v>2358</v>
      </c>
      <c r="D81" s="534" t="s">
        <v>2359</v>
      </c>
      <c r="E81" s="534" t="s">
        <v>2360</v>
      </c>
      <c r="F81" s="534" t="s">
        <v>2361</v>
      </c>
      <c r="G81" s="534" t="s">
        <v>2362</v>
      </c>
      <c r="H81" s="495"/>
      <c r="I81" s="495"/>
      <c r="J81" s="495"/>
      <c r="K81" s="496"/>
      <c r="L81" s="497"/>
      <c r="M81" s="498"/>
      <c r="N81" s="2951"/>
      <c r="O81" s="2951"/>
      <c r="P81" s="2960"/>
      <c r="Q81" s="2937"/>
      <c r="R81" s="2923"/>
      <c r="S81" s="2923"/>
      <c r="T81" s="2923"/>
      <c r="U81" s="2923"/>
      <c r="V81" s="2923"/>
      <c r="W81" s="2923"/>
      <c r="X81" s="2923"/>
      <c r="Y81" s="2923"/>
      <c r="Z81" s="2923"/>
      <c r="AA81" s="2923"/>
      <c r="AB81" s="2923"/>
      <c r="AC81" s="2923"/>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2"/>
      <c r="O82" s="2952"/>
      <c r="P82" s="2960"/>
      <c r="Q82" s="2937"/>
      <c r="R82" s="2923"/>
      <c r="S82" s="2923"/>
      <c r="T82" s="2923"/>
      <c r="U82" s="2923"/>
      <c r="V82" s="2923"/>
      <c r="W82" s="2923"/>
      <c r="X82" s="2923"/>
      <c r="Y82" s="2923"/>
      <c r="Z82" s="2923"/>
      <c r="AA82" s="2923"/>
      <c r="AB82" s="2923"/>
      <c r="AC82" s="2923"/>
    </row>
    <row r="83" spans="1:29" ht="15.75" thickTop="1">
      <c r="A83" s="490"/>
      <c r="B83" s="502" t="s">
        <v>2450</v>
      </c>
      <c r="C83" s="615" t="s">
        <v>2436</v>
      </c>
      <c r="D83" s="615" t="s">
        <v>2437</v>
      </c>
      <c r="E83" s="615" t="s">
        <v>2438</v>
      </c>
      <c r="F83" s="615" t="s">
        <v>2439</v>
      </c>
      <c r="G83" s="615" t="s">
        <v>2440</v>
      </c>
      <c r="H83" s="495"/>
      <c r="I83" s="495"/>
      <c r="J83" s="495"/>
      <c r="K83" s="495"/>
      <c r="L83" s="495"/>
      <c r="M83" s="1262"/>
      <c r="N83" s="2952"/>
      <c r="O83" s="2952"/>
      <c r="P83" s="2960"/>
      <c r="Q83" s="2937"/>
      <c r="R83" s="2923"/>
      <c r="S83" s="2923"/>
      <c r="T83" s="2923"/>
      <c r="U83" s="2923"/>
      <c r="V83" s="2923"/>
      <c r="W83" s="2923"/>
      <c r="X83" s="2923"/>
      <c r="Y83" s="2923"/>
      <c r="Z83" s="2923"/>
      <c r="AA83" s="2923"/>
      <c r="AB83" s="2923"/>
      <c r="AC83" s="2923"/>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2"/>
      <c r="O84" s="2952"/>
      <c r="P84" s="2960"/>
      <c r="Q84" s="2937"/>
      <c r="R84" s="2923"/>
      <c r="S84" s="2923"/>
      <c r="T84" s="2923"/>
      <c r="U84" s="2923"/>
      <c r="V84" s="2923"/>
      <c r="W84" s="2923"/>
      <c r="X84" s="2923"/>
      <c r="Y84" s="2923"/>
      <c r="Z84" s="2923"/>
      <c r="AA84" s="2923"/>
      <c r="AB84" s="2923"/>
      <c r="AC84" s="2923"/>
    </row>
    <row r="85" spans="1:29" ht="15.75" thickTop="1">
      <c r="A85" s="490"/>
      <c r="B85" s="494" t="s">
        <v>2459</v>
      </c>
      <c r="C85" s="534" t="s">
        <v>2358</v>
      </c>
      <c r="D85" s="534" t="s">
        <v>2359</v>
      </c>
      <c r="E85" s="534" t="s">
        <v>2360</v>
      </c>
      <c r="F85" s="534" t="s">
        <v>2361</v>
      </c>
      <c r="G85" s="534" t="s">
        <v>2362</v>
      </c>
      <c r="H85" s="495"/>
      <c r="I85" s="495"/>
      <c r="J85" s="495"/>
      <c r="K85" s="496"/>
      <c r="L85" s="497"/>
      <c r="M85" s="498"/>
      <c r="N85" s="2951"/>
      <c r="O85" s="2951"/>
      <c r="P85" s="2960"/>
      <c r="Q85" s="2937"/>
      <c r="R85" s="2923"/>
      <c r="S85" s="2923"/>
      <c r="T85" s="2923"/>
      <c r="U85" s="2923"/>
      <c r="V85" s="2923"/>
      <c r="W85" s="2923"/>
      <c r="X85" s="2923"/>
      <c r="Y85" s="2923"/>
      <c r="Z85" s="2923"/>
      <c r="AA85" s="2923"/>
      <c r="AB85" s="2923"/>
      <c r="AC85" s="2923"/>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2"/>
      <c r="O86" s="2952"/>
      <c r="P86" s="2960"/>
      <c r="Q86" s="2937"/>
      <c r="R86" s="2923"/>
      <c r="S86" s="2923"/>
      <c r="T86" s="2923"/>
      <c r="U86" s="2923"/>
      <c r="V86" s="2923"/>
      <c r="W86" s="2923"/>
      <c r="X86" s="2923"/>
      <c r="Y86" s="2923"/>
      <c r="Z86" s="2923"/>
      <c r="AA86" s="2923"/>
      <c r="AB86" s="2923"/>
      <c r="AC86" s="2923"/>
    </row>
    <row r="87" spans="1:29" s="113" customFormat="1" ht="27.75" thickTop="1">
      <c r="A87" s="535"/>
      <c r="B87" s="494" t="s">
        <v>2460</v>
      </c>
      <c r="C87" s="510"/>
      <c r="D87" s="510"/>
      <c r="E87" s="510"/>
      <c r="F87" s="510"/>
      <c r="G87" s="510"/>
      <c r="H87" s="510"/>
      <c r="I87" s="510"/>
      <c r="J87" s="510"/>
      <c r="K87" s="510"/>
      <c r="L87" s="536"/>
      <c r="M87" s="537"/>
      <c r="N87" s="2950"/>
      <c r="O87" s="2950"/>
      <c r="P87" s="2960"/>
      <c r="Q87" s="2937"/>
      <c r="R87" s="2857"/>
      <c r="S87" s="2857"/>
      <c r="T87" s="2857"/>
      <c r="U87" s="2857"/>
      <c r="V87" s="2857"/>
      <c r="W87" s="2857"/>
      <c r="X87" s="2857"/>
      <c r="Y87" s="2857"/>
      <c r="Z87" s="2857"/>
      <c r="AA87" s="2857"/>
      <c r="AB87" s="2857"/>
      <c r="AC87" s="2857"/>
    </row>
    <row r="88" spans="1:29" s="113"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5"/>
      <c r="B89" s="494" t="str">
        <f>B27</f>
        <v>楼层</v>
      </c>
      <c r="C89" s="510"/>
      <c r="D89" s="510"/>
      <c r="E89" s="510"/>
      <c r="F89" s="2082"/>
      <c r="G89" s="510"/>
      <c r="H89" s="510"/>
      <c r="I89" s="510"/>
      <c r="J89" s="510"/>
      <c r="K89" s="510"/>
      <c r="L89" s="510"/>
      <c r="M89" s="537"/>
      <c r="N89" s="2950"/>
      <c r="O89" s="2950"/>
      <c r="P89" s="2960"/>
      <c r="Q89" s="2937"/>
      <c r="R89" s="2857"/>
      <c r="S89" s="2857"/>
      <c r="T89" s="2857"/>
      <c r="U89" s="2857"/>
      <c r="V89" s="2857"/>
      <c r="W89" s="2857"/>
      <c r="X89" s="2857"/>
      <c r="Y89" s="2857"/>
      <c r="Z89" s="2857"/>
      <c r="AA89" s="2857"/>
      <c r="AB89" s="2857"/>
      <c r="AC89" s="2857"/>
    </row>
    <row r="90" spans="1:29" s="113"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2"/>
      <c r="O90" s="2952"/>
      <c r="P90" s="2960"/>
      <c r="Q90" s="2937"/>
      <c r="R90" s="2857"/>
      <c r="S90" s="2857"/>
      <c r="T90" s="2857"/>
      <c r="U90" s="2857"/>
      <c r="V90" s="2857"/>
      <c r="W90" s="2857"/>
      <c r="X90" s="2857"/>
      <c r="Y90" s="2857"/>
      <c r="Z90" s="2857"/>
      <c r="AA90" s="2857"/>
      <c r="AB90" s="2857"/>
      <c r="AC90" s="2857"/>
    </row>
    <row r="91" spans="1:29" s="429" customFormat="1" ht="15.75" thickTop="1">
      <c r="A91" s="509"/>
      <c r="B91" s="494" t="str">
        <f>B28</f>
        <v>朝向</v>
      </c>
      <c r="C91" s="510"/>
      <c r="D91" s="510"/>
      <c r="E91" s="510"/>
      <c r="F91" s="510"/>
      <c r="G91" s="510"/>
      <c r="H91" s="511"/>
      <c r="I91" s="511"/>
      <c r="J91" s="511"/>
      <c r="K91" s="511"/>
      <c r="L91" s="512"/>
      <c r="M91" s="513"/>
      <c r="N91" s="2953"/>
      <c r="O91" s="2953"/>
      <c r="P91" s="2961"/>
      <c r="Q91" s="2944"/>
      <c r="R91" s="2945"/>
      <c r="S91" s="2945"/>
      <c r="T91" s="2945"/>
      <c r="U91" s="2945"/>
      <c r="V91" s="2945"/>
      <c r="W91" s="2945"/>
      <c r="X91" s="2945"/>
      <c r="Y91" s="2945"/>
      <c r="Z91" s="2945"/>
      <c r="AA91" s="2945"/>
      <c r="AB91" s="2945"/>
      <c r="AC91" s="2945"/>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0"/>
      <c r="B93" s="494">
        <f>B29</f>
        <v>111</v>
      </c>
      <c r="C93" s="510"/>
      <c r="D93" s="510"/>
      <c r="E93" s="510"/>
      <c r="F93" s="510"/>
      <c r="G93" s="510"/>
      <c r="H93" s="510"/>
      <c r="I93" s="510"/>
      <c r="J93" s="510"/>
      <c r="K93" s="510"/>
      <c r="L93" s="536"/>
      <c r="M93" s="537"/>
      <c r="N93" s="2951"/>
      <c r="O93" s="2951"/>
      <c r="P93" s="2960"/>
      <c r="Q93" s="2937"/>
      <c r="R93" s="2923"/>
      <c r="S93" s="2923"/>
      <c r="T93" s="2923"/>
      <c r="U93" s="2923"/>
      <c r="V93" s="2923"/>
      <c r="W93" s="2923"/>
      <c r="X93" s="2923"/>
      <c r="Y93" s="2923"/>
      <c r="Z93" s="2923"/>
      <c r="AA93" s="2923"/>
      <c r="AB93" s="2923"/>
      <c r="AC93" s="2923"/>
    </row>
    <row r="94" spans="1:29" ht="15.75" thickBot="1">
      <c r="A94" s="490"/>
      <c r="B94" s="499"/>
      <c r="C94" s="516"/>
      <c r="D94" s="492"/>
      <c r="E94" s="492"/>
      <c r="F94" s="492"/>
      <c r="G94" s="492"/>
      <c r="H94" s="492"/>
      <c r="I94" s="492"/>
      <c r="J94" s="492"/>
      <c r="K94" s="492"/>
      <c r="L94" s="492"/>
      <c r="M94" s="493"/>
      <c r="N94" s="2952"/>
      <c r="O94" s="2952"/>
      <c r="P94" s="2960"/>
      <c r="Q94" s="2937"/>
      <c r="R94" s="2923"/>
      <c r="S94" s="2923"/>
      <c r="T94" s="2923"/>
      <c r="U94" s="2923"/>
      <c r="V94" s="2923"/>
      <c r="W94" s="2923"/>
      <c r="X94" s="2923"/>
      <c r="Y94" s="2923"/>
      <c r="Z94" s="2923"/>
      <c r="AA94" s="2923"/>
      <c r="AB94" s="2923"/>
      <c r="AC94" s="2923"/>
    </row>
    <row r="95" spans="1:29" ht="15.75" thickTop="1">
      <c r="A95" s="490"/>
      <c r="B95" s="494">
        <f>B30</f>
        <v>111</v>
      </c>
      <c r="C95" s="510"/>
      <c r="D95" s="510"/>
      <c r="E95" s="510"/>
      <c r="F95" s="510"/>
      <c r="G95" s="539"/>
      <c r="H95" s="539"/>
      <c r="I95" s="539"/>
      <c r="J95" s="539"/>
      <c r="K95" s="540"/>
      <c r="L95" s="541"/>
      <c r="M95" s="542"/>
      <c r="N95" s="2951"/>
      <c r="O95" s="2951"/>
      <c r="P95" s="2960"/>
      <c r="Q95" s="2937"/>
      <c r="R95" s="2923"/>
      <c r="S95" s="2923"/>
      <c r="T95" s="2923"/>
      <c r="U95" s="2923"/>
      <c r="V95" s="2923"/>
      <c r="W95" s="2923"/>
      <c r="X95" s="2923"/>
      <c r="Y95" s="2923"/>
      <c r="Z95" s="2923"/>
      <c r="AA95" s="2923"/>
      <c r="AB95" s="2923"/>
      <c r="AC95" s="2923"/>
    </row>
    <row r="96" spans="1:29" ht="15.75" thickBot="1">
      <c r="A96" s="490"/>
      <c r="B96" s="499"/>
      <c r="C96" s="516"/>
      <c r="D96" s="516"/>
      <c r="E96" s="516"/>
      <c r="F96" s="516"/>
      <c r="G96" s="492"/>
      <c r="H96" s="492"/>
      <c r="I96" s="492"/>
      <c r="J96" s="492"/>
      <c r="K96" s="492"/>
      <c r="L96" s="492"/>
      <c r="M96" s="493"/>
      <c r="N96" s="2952"/>
      <c r="O96" s="2952"/>
      <c r="P96" s="2960"/>
      <c r="Q96" s="2937"/>
      <c r="R96" s="2923"/>
      <c r="S96" s="2923"/>
      <c r="T96" s="2923"/>
      <c r="U96" s="2923"/>
      <c r="V96" s="2923"/>
      <c r="W96" s="2923"/>
      <c r="X96" s="2923"/>
      <c r="Y96" s="2923"/>
      <c r="Z96" s="2923"/>
      <c r="AA96" s="2923"/>
      <c r="AB96" s="2923"/>
      <c r="AC96" s="2923"/>
    </row>
    <row r="97" spans="1:29" ht="15.75" thickTop="1">
      <c r="A97" s="490"/>
      <c r="B97" s="494">
        <f>B31</f>
        <v>111</v>
      </c>
      <c r="C97" s="510"/>
      <c r="D97" s="510"/>
      <c r="E97" s="510"/>
      <c r="F97" s="510"/>
      <c r="G97" s="539"/>
      <c r="H97" s="539"/>
      <c r="I97" s="539"/>
      <c r="J97" s="539"/>
      <c r="K97" s="540"/>
      <c r="L97" s="541"/>
      <c r="M97" s="542"/>
      <c r="N97" s="2951"/>
      <c r="O97" s="2951"/>
      <c r="P97" s="2960"/>
      <c r="Q97" s="2937"/>
      <c r="R97" s="2923"/>
      <c r="S97" s="2923"/>
      <c r="T97" s="2923"/>
      <c r="U97" s="2923"/>
      <c r="V97" s="2923"/>
      <c r="W97" s="2923"/>
      <c r="X97" s="2923"/>
      <c r="Y97" s="2923"/>
      <c r="Z97" s="2923"/>
      <c r="AA97" s="2923"/>
      <c r="AB97" s="2923"/>
      <c r="AC97" s="2923"/>
    </row>
    <row r="98" spans="1:29" ht="15.75" thickBot="1">
      <c r="A98" s="490"/>
      <c r="B98" s="499"/>
      <c r="C98" s="516"/>
      <c r="D98" s="492"/>
      <c r="E98" s="492"/>
      <c r="F98" s="492"/>
      <c r="G98" s="492"/>
      <c r="H98" s="492"/>
      <c r="I98" s="492"/>
      <c r="J98" s="492"/>
      <c r="K98" s="492"/>
      <c r="L98" s="492"/>
      <c r="M98" s="493"/>
      <c r="N98" s="2952"/>
      <c r="O98" s="2952"/>
      <c r="P98" s="2960"/>
      <c r="Q98" s="2937"/>
      <c r="R98" s="2923"/>
      <c r="S98" s="2923"/>
      <c r="T98" s="2923"/>
      <c r="U98" s="2923"/>
      <c r="V98" s="2923"/>
      <c r="W98" s="2923"/>
      <c r="X98" s="2923"/>
      <c r="Y98" s="2923"/>
      <c r="Z98" s="2923"/>
      <c r="AA98" s="2923"/>
      <c r="AB98" s="2923"/>
      <c r="AC98" s="2923"/>
    </row>
    <row r="99" spans="1:29" ht="15.75" thickTop="1">
      <c r="A99" s="490"/>
      <c r="B99" s="502">
        <f>B32</f>
        <v>111</v>
      </c>
      <c r="C99" s="479"/>
      <c r="D99" s="479"/>
      <c r="E99" s="479"/>
      <c r="F99" s="479"/>
      <c r="G99" s="543"/>
      <c r="H99" s="543"/>
      <c r="I99" s="543"/>
      <c r="J99" s="543"/>
      <c r="K99" s="544"/>
      <c r="L99" s="545"/>
      <c r="M99" s="546"/>
      <c r="N99" s="2951"/>
      <c r="O99" s="2951"/>
      <c r="P99" s="2960"/>
      <c r="Q99" s="2937"/>
      <c r="R99" s="2923"/>
      <c r="S99" s="2923"/>
      <c r="T99" s="2923"/>
      <c r="U99" s="2923"/>
      <c r="V99" s="2923"/>
      <c r="W99" s="2923"/>
      <c r="X99" s="2923"/>
      <c r="Y99" s="2923"/>
      <c r="Z99" s="2923"/>
      <c r="AA99" s="2923"/>
      <c r="AB99" s="2923"/>
      <c r="AC99" s="2923"/>
    </row>
    <row r="100" spans="1:29" ht="15.75" thickBot="1">
      <c r="A100" s="2083"/>
      <c r="B100" s="525"/>
      <c r="C100" s="526"/>
      <c r="D100" s="526"/>
      <c r="E100" s="526"/>
      <c r="F100" s="526"/>
      <c r="G100" s="547"/>
      <c r="H100" s="547"/>
      <c r="I100" s="547"/>
      <c r="J100" s="547"/>
      <c r="K100" s="547"/>
      <c r="L100" s="547"/>
      <c r="M100" s="548"/>
      <c r="N100" s="2952"/>
      <c r="O100" s="2952"/>
      <c r="P100" s="2960"/>
      <c r="Q100" s="2937"/>
      <c r="R100" s="2923"/>
      <c r="S100" s="2923"/>
      <c r="T100" s="2923"/>
      <c r="U100" s="2923"/>
      <c r="V100" s="2923"/>
      <c r="W100" s="2923"/>
      <c r="X100" s="2923"/>
      <c r="Y100" s="2923"/>
      <c r="Z100" s="2923"/>
      <c r="AA100" s="2923"/>
      <c r="AB100" s="2923"/>
      <c r="AC100" s="2923"/>
    </row>
    <row r="101" spans="1:29">
      <c r="A101" s="483" t="s">
        <v>2324</v>
      </c>
      <c r="B101" s="484" t="s">
        <v>2373</v>
      </c>
      <c r="C101" s="486"/>
      <c r="D101" s="486"/>
      <c r="E101" s="486"/>
      <c r="F101" s="486"/>
      <c r="G101" s="486"/>
      <c r="H101" s="486"/>
      <c r="I101" s="486"/>
      <c r="J101" s="486"/>
      <c r="K101" s="487"/>
      <c r="L101" s="488"/>
      <c r="M101" s="489"/>
      <c r="N101" s="2951"/>
      <c r="O101" s="2951"/>
      <c r="P101" s="2960"/>
      <c r="Q101" s="2937"/>
      <c r="R101" s="2923"/>
      <c r="S101" s="2923"/>
      <c r="T101" s="2923"/>
      <c r="U101" s="2923"/>
      <c r="V101" s="2923"/>
      <c r="W101" s="2923"/>
      <c r="X101" s="2923"/>
      <c r="Y101" s="2923"/>
      <c r="Z101" s="2923"/>
      <c r="AA101" s="2923"/>
      <c r="AB101" s="2923"/>
      <c r="AC101" s="2923"/>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29" customFormat="1">
      <c r="A104" s="549"/>
      <c r="B104" s="550"/>
      <c r="C104" s="551"/>
      <c r="D104" s="551"/>
      <c r="E104" s="551"/>
      <c r="F104" s="551"/>
      <c r="G104" s="551"/>
      <c r="H104" s="551"/>
      <c r="I104" s="551"/>
      <c r="J104" s="552"/>
      <c r="K104" s="552"/>
      <c r="L104" s="553"/>
      <c r="M104" s="554"/>
      <c r="N104" s="2953"/>
      <c r="O104" s="2953"/>
      <c r="P104" s="2961"/>
      <c r="Q104" s="2944"/>
      <c r="R104" s="2945"/>
      <c r="S104" s="2945"/>
      <c r="T104" s="2945"/>
      <c r="U104" s="2945"/>
      <c r="V104" s="2945"/>
      <c r="W104" s="2945"/>
      <c r="X104" s="2945"/>
      <c r="Y104" s="2945"/>
      <c r="Z104" s="2945"/>
      <c r="AA104" s="2945"/>
      <c r="AB104" s="2945"/>
      <c r="AC104" s="2945"/>
    </row>
    <row r="105" spans="1:29" s="429" customFormat="1" ht="15.75" thickBot="1">
      <c r="A105" s="509"/>
      <c r="B105" s="499"/>
      <c r="C105" s="516"/>
      <c r="D105" s="492"/>
      <c r="E105" s="492"/>
      <c r="F105" s="492"/>
      <c r="G105" s="492"/>
      <c r="H105" s="492"/>
      <c r="I105" s="492"/>
      <c r="J105" s="492"/>
      <c r="K105" s="492"/>
      <c r="L105" s="492"/>
      <c r="M105" s="493"/>
      <c r="N105" s="2952"/>
      <c r="O105" s="2952"/>
      <c r="P105" s="2961"/>
      <c r="Q105" s="2944"/>
      <c r="R105" s="2945"/>
      <c r="S105" s="2945"/>
      <c r="T105" s="2945"/>
      <c r="U105" s="2945"/>
      <c r="V105" s="2945"/>
      <c r="W105" s="2945"/>
      <c r="X105" s="2945"/>
      <c r="Y105" s="2945"/>
      <c r="Z105" s="2945"/>
      <c r="AA105" s="2945"/>
      <c r="AB105" s="2945"/>
      <c r="AC105" s="2945"/>
    </row>
    <row r="106" spans="1:29" ht="15" thickTop="1">
      <c r="A106" s="555"/>
      <c r="B106" s="494" t="s">
        <v>2375</v>
      </c>
      <c r="C106" s="510"/>
      <c r="D106" s="510"/>
      <c r="E106" s="539"/>
      <c r="F106" s="539"/>
      <c r="G106" s="539"/>
      <c r="H106" s="539"/>
      <c r="I106" s="539"/>
      <c r="J106" s="539"/>
      <c r="K106" s="540"/>
      <c r="L106" s="541"/>
      <c r="M106" s="542"/>
      <c r="N106" s="2951"/>
      <c r="O106" s="2951"/>
      <c r="P106" s="2960"/>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5"/>
      <c r="B108" s="494" t="s">
        <v>2377</v>
      </c>
      <c r="C108" s="510"/>
      <c r="D108" s="510"/>
      <c r="E108" s="510"/>
      <c r="F108" s="539"/>
      <c r="G108" s="539"/>
      <c r="H108" s="539"/>
      <c r="I108" s="539"/>
      <c r="J108" s="539"/>
      <c r="K108" s="540"/>
      <c r="L108" s="541"/>
      <c r="M108" s="542"/>
      <c r="N108" s="2951"/>
      <c r="O108" s="2951"/>
      <c r="P108" s="2960"/>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1"/>
      <c r="O110" s="2951"/>
      <c r="P110" s="2960"/>
      <c r="Q110" s="2937"/>
      <c r="R110" s="2923"/>
      <c r="S110" s="2923"/>
      <c r="T110" s="2923"/>
      <c r="U110" s="2923"/>
      <c r="V110" s="2923"/>
      <c r="W110" s="2923"/>
      <c r="X110" s="2923"/>
      <c r="Y110" s="2923"/>
      <c r="Z110" s="2923"/>
      <c r="AA110" s="2923"/>
      <c r="AB110" s="2923"/>
      <c r="AC110" s="2923"/>
    </row>
    <row r="111" spans="1:29">
      <c r="A111" s="555"/>
      <c r="B111" s="502"/>
      <c r="C111" s="559">
        <v>0.5</v>
      </c>
      <c r="D111" s="559">
        <v>0.6</v>
      </c>
      <c r="E111" s="559">
        <v>0.7</v>
      </c>
      <c r="F111" s="559">
        <v>0.8</v>
      </c>
      <c r="G111" s="559">
        <v>0.9</v>
      </c>
      <c r="H111" s="559">
        <v>1.0001</v>
      </c>
      <c r="I111" s="578"/>
      <c r="J111" s="578"/>
      <c r="K111" s="579"/>
      <c r="L111" s="580"/>
      <c r="M111" s="581"/>
      <c r="N111" s="2951"/>
      <c r="O111" s="2951"/>
      <c r="P111" s="2960"/>
      <c r="Q111" s="2937"/>
      <c r="R111" s="2923"/>
      <c r="S111" s="2923"/>
      <c r="T111" s="2923"/>
      <c r="U111" s="2923"/>
      <c r="V111" s="2923"/>
      <c r="W111" s="2923"/>
      <c r="X111" s="2923"/>
      <c r="Y111" s="2923"/>
      <c r="Z111" s="2923"/>
      <c r="AA111" s="2923"/>
      <c r="AB111" s="2923"/>
      <c r="AC111" s="2923"/>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2"/>
      <c r="O112" s="2952"/>
      <c r="P112" s="2960"/>
      <c r="Q112" s="2937"/>
      <c r="R112" s="2923"/>
      <c r="S112" s="2923"/>
      <c r="T112" s="2923"/>
      <c r="U112" s="2923"/>
      <c r="V112" s="2923"/>
      <c r="W112" s="2923"/>
      <c r="X112" s="2923"/>
      <c r="Y112" s="2923"/>
      <c r="Z112" s="2923"/>
      <c r="AA112" s="2923"/>
      <c r="AB112" s="2923"/>
      <c r="AC112" s="2923"/>
    </row>
    <row r="113" spans="1:29" s="429" customFormat="1" ht="15" thickTop="1">
      <c r="A113" s="549"/>
      <c r="B113" s="494" t="s">
        <v>2461</v>
      </c>
      <c r="C113" s="510"/>
      <c r="D113" s="510"/>
      <c r="E113" s="510"/>
      <c r="F113" s="510"/>
      <c r="G113" s="510"/>
      <c r="H113" s="539"/>
      <c r="I113" s="539"/>
      <c r="J113" s="539"/>
      <c r="K113" s="540"/>
      <c r="L113" s="541"/>
      <c r="M113" s="542"/>
      <c r="N113" s="2953"/>
      <c r="O113" s="2953"/>
      <c r="P113" s="2961"/>
      <c r="Q113" s="2944"/>
      <c r="R113" s="2945"/>
      <c r="S113" s="2945"/>
      <c r="T113" s="2945"/>
      <c r="U113" s="2945"/>
      <c r="V113" s="2945"/>
      <c r="W113" s="2945"/>
      <c r="X113" s="2945"/>
      <c r="Y113" s="2945"/>
      <c r="Z113" s="2945"/>
      <c r="AA113" s="2945"/>
      <c r="AB113" s="2945"/>
      <c r="AC113" s="2945"/>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5"/>
      <c r="B115" s="494" t="s">
        <v>2378</v>
      </c>
      <c r="C115" s="510"/>
      <c r="D115" s="510"/>
      <c r="E115" s="539"/>
      <c r="F115" s="539"/>
      <c r="G115" s="539"/>
      <c r="H115" s="539"/>
      <c r="I115" s="539"/>
      <c r="J115" s="539"/>
      <c r="K115" s="540"/>
      <c r="L115" s="541"/>
      <c r="M115" s="542"/>
      <c r="N115" s="2951"/>
      <c r="O115" s="2951"/>
      <c r="P115" s="2960"/>
      <c r="Q115" s="2937"/>
      <c r="R115" s="2923"/>
      <c r="S115" s="2923"/>
      <c r="T115" s="2923"/>
      <c r="U115" s="2923"/>
      <c r="V115" s="2923"/>
      <c r="W115" s="2923"/>
      <c r="X115" s="2923"/>
      <c r="Y115" s="2923"/>
      <c r="Z115" s="2923"/>
      <c r="AA115" s="2923"/>
      <c r="AB115" s="2923"/>
      <c r="AC115" s="2923"/>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5"/>
      <c r="B117" s="494" t="s">
        <v>2379</v>
      </c>
      <c r="C117" s="510"/>
      <c r="D117" s="510"/>
      <c r="E117" s="510"/>
      <c r="F117" s="510"/>
      <c r="G117" s="510"/>
      <c r="H117" s="539"/>
      <c r="I117" s="539"/>
      <c r="J117" s="539"/>
      <c r="K117" s="540"/>
      <c r="L117" s="541"/>
      <c r="M117" s="542"/>
      <c r="N117" s="2951"/>
      <c r="O117" s="2951"/>
      <c r="P117" s="2960"/>
      <c r="Q117" s="2937"/>
      <c r="R117" s="2923"/>
      <c r="S117" s="2923"/>
      <c r="T117" s="2923"/>
      <c r="U117" s="2923"/>
      <c r="V117" s="2923"/>
      <c r="W117" s="2923"/>
      <c r="X117" s="2923"/>
      <c r="Y117" s="2923"/>
      <c r="Z117" s="2923"/>
      <c r="AA117" s="2923"/>
      <c r="AB117" s="2923"/>
      <c r="AC117" s="2923"/>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2"/>
      <c r="O118" s="2952"/>
      <c r="P118" s="2960"/>
      <c r="Q118" s="2937"/>
      <c r="R118" s="2923"/>
      <c r="S118" s="2923"/>
      <c r="T118" s="2923"/>
      <c r="U118" s="2923"/>
      <c r="V118" s="2923"/>
      <c r="W118" s="2923"/>
      <c r="X118" s="2923"/>
      <c r="Y118" s="2923"/>
      <c r="Z118" s="2923"/>
      <c r="AA118" s="2923"/>
      <c r="AB118" s="2923"/>
      <c r="AC118" s="2923"/>
    </row>
    <row r="119" spans="1:29" ht="15" thickTop="1">
      <c r="A119" s="555"/>
      <c r="B119" s="591" t="s">
        <v>2462</v>
      </c>
      <c r="C119" s="539"/>
      <c r="D119" s="539"/>
      <c r="E119" s="539"/>
      <c r="F119" s="539"/>
      <c r="G119" s="539"/>
      <c r="H119" s="539"/>
      <c r="I119" s="539"/>
      <c r="J119" s="539"/>
      <c r="K119" s="539"/>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2"/>
      <c r="O120" s="2952"/>
      <c r="P120" s="2960"/>
      <c r="Q120" s="2937"/>
      <c r="R120" s="2923"/>
      <c r="S120" s="2923"/>
      <c r="T120" s="2923"/>
      <c r="U120" s="2923"/>
      <c r="V120" s="2923"/>
      <c r="W120" s="2923"/>
      <c r="X120" s="2923"/>
      <c r="Y120" s="2923"/>
      <c r="Z120" s="2923"/>
      <c r="AA120" s="2923"/>
      <c r="AB120" s="2923"/>
      <c r="AC120" s="2923"/>
    </row>
    <row r="121" spans="1:29" s="429" customFormat="1" ht="15" thickTop="1">
      <c r="A121" s="549"/>
      <c r="B121" s="494" t="s">
        <v>2445</v>
      </c>
      <c r="C121" s="510"/>
      <c r="D121" s="510"/>
      <c r="E121" s="510"/>
      <c r="F121" s="539"/>
      <c r="G121" s="511"/>
      <c r="H121" s="511"/>
      <c r="I121" s="511"/>
      <c r="J121" s="511"/>
      <c r="K121" s="511"/>
      <c r="L121" s="512"/>
      <c r="M121" s="513"/>
      <c r="N121" s="2953"/>
      <c r="O121" s="2953"/>
      <c r="P121" s="2961"/>
      <c r="Q121" s="2944"/>
      <c r="R121" s="2945"/>
      <c r="S121" s="2945"/>
      <c r="T121" s="2945"/>
      <c r="U121" s="2945"/>
      <c r="V121" s="2945"/>
      <c r="W121" s="2945"/>
      <c r="X121" s="2945"/>
      <c r="Y121" s="2945"/>
      <c r="Z121" s="2945"/>
      <c r="AA121" s="2945"/>
      <c r="AB121" s="2945"/>
      <c r="AC121" s="2945"/>
    </row>
    <row r="122" spans="1:29" s="429" customFormat="1" ht="15.75" thickBot="1">
      <c r="A122" s="509"/>
      <c r="B122" s="491"/>
      <c r="C122" s="516"/>
      <c r="D122" s="516"/>
      <c r="E122" s="516"/>
      <c r="F122" s="516"/>
      <c r="G122" s="516"/>
      <c r="H122" s="516"/>
      <c r="I122" s="516"/>
      <c r="J122" s="516"/>
      <c r="K122" s="516"/>
      <c r="L122" s="516"/>
      <c r="M122" s="516"/>
      <c r="N122" s="2953"/>
      <c r="O122" s="2953"/>
      <c r="P122" s="2961"/>
      <c r="Q122" s="2944"/>
      <c r="R122" s="2945"/>
      <c r="S122" s="2945"/>
      <c r="T122" s="2945"/>
      <c r="U122" s="2945"/>
      <c r="V122" s="2945"/>
      <c r="W122" s="2945"/>
      <c r="X122" s="2945"/>
      <c r="Y122" s="2945"/>
      <c r="Z122" s="2945"/>
      <c r="AA122" s="2945"/>
      <c r="AB122" s="2945"/>
      <c r="AC122" s="2945"/>
    </row>
    <row r="123" spans="1:29" ht="15" thickTop="1">
      <c r="A123" s="555"/>
      <c r="B123" s="494" t="s">
        <v>2381</v>
      </c>
      <c r="C123" s="510"/>
      <c r="D123" s="510"/>
      <c r="E123" s="510"/>
      <c r="F123" s="539"/>
      <c r="G123" s="539"/>
      <c r="H123" s="539"/>
      <c r="I123" s="539"/>
      <c r="J123" s="539"/>
      <c r="K123" s="540"/>
      <c r="L123" s="541"/>
      <c r="M123" s="542"/>
      <c r="N123" s="2951"/>
      <c r="O123" s="2951"/>
      <c r="P123" s="2960"/>
      <c r="Q123" s="2937"/>
      <c r="R123" s="2923"/>
      <c r="S123" s="2923"/>
      <c r="T123" s="2923"/>
      <c r="U123" s="2923"/>
      <c r="V123" s="2923"/>
      <c r="W123" s="2923"/>
      <c r="X123" s="2923"/>
      <c r="Y123" s="2923"/>
      <c r="Z123" s="2923"/>
      <c r="AA123" s="2923"/>
      <c r="AB123" s="2923"/>
      <c r="AC123" s="2923"/>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1"/>
      <c r="O125" s="2951"/>
      <c r="P125" s="2961"/>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2"/>
      <c r="O126" s="2952"/>
      <c r="P126" s="2960"/>
      <c r="Q126" s="2937"/>
      <c r="R126" s="2923"/>
      <c r="S126" s="2923"/>
      <c r="T126" s="2923"/>
      <c r="U126" s="2923"/>
      <c r="V126" s="2923"/>
      <c r="W126" s="2923"/>
      <c r="X126" s="2923"/>
      <c r="Y126" s="2923"/>
      <c r="Z126" s="2923"/>
      <c r="AA126" s="2923"/>
      <c r="AB126" s="2923"/>
      <c r="AC126" s="2923"/>
    </row>
    <row r="127" spans="1:29" s="429" customFormat="1" ht="15" thickTop="1">
      <c r="A127" s="549"/>
      <c r="B127" s="494">
        <f>B45</f>
        <v>111</v>
      </c>
      <c r="C127" s="510"/>
      <c r="D127" s="510"/>
      <c r="E127" s="510"/>
      <c r="F127" s="510"/>
      <c r="G127" s="510"/>
      <c r="H127" s="511"/>
      <c r="I127" s="511"/>
      <c r="J127" s="511"/>
      <c r="K127" s="511"/>
      <c r="L127" s="512"/>
      <c r="M127" s="513"/>
      <c r="N127" s="2953"/>
      <c r="O127" s="2953"/>
      <c r="P127" s="2961"/>
      <c r="Q127" s="2944"/>
      <c r="R127" s="2945"/>
      <c r="S127" s="2945"/>
      <c r="T127" s="2945"/>
      <c r="U127" s="2945"/>
      <c r="V127" s="2945"/>
      <c r="W127" s="2945"/>
      <c r="X127" s="2945"/>
      <c r="Y127" s="2945"/>
      <c r="Z127" s="2945"/>
      <c r="AA127" s="2945"/>
      <c r="AB127" s="2945"/>
      <c r="AC127" s="2945"/>
    </row>
    <row r="128" spans="1:29" s="429" customFormat="1" ht="15.75" thickBot="1">
      <c r="A128" s="509"/>
      <c r="B128" s="499"/>
      <c r="C128" s="516"/>
      <c r="D128" s="492"/>
      <c r="E128" s="492"/>
      <c r="F128" s="492"/>
      <c r="G128" s="516"/>
      <c r="H128" s="518"/>
      <c r="I128" s="518"/>
      <c r="J128" s="518"/>
      <c r="K128" s="518"/>
      <c r="L128" s="518"/>
      <c r="M128" s="519"/>
      <c r="N128" s="2953"/>
      <c r="O128" s="2953"/>
      <c r="P128" s="2961"/>
      <c r="Q128" s="2944"/>
      <c r="R128" s="2945"/>
      <c r="S128" s="2945"/>
      <c r="T128" s="2945"/>
      <c r="U128" s="2945"/>
      <c r="V128" s="2945"/>
      <c r="W128" s="2945"/>
      <c r="X128" s="2945"/>
      <c r="Y128" s="2945"/>
      <c r="Z128" s="2945"/>
      <c r="AA128" s="2945"/>
      <c r="AB128" s="2945"/>
      <c r="AC128" s="2945"/>
    </row>
    <row r="129" spans="1:29" ht="15" thickTop="1">
      <c r="A129" s="555"/>
      <c r="B129" s="494">
        <f>B46</f>
        <v>111</v>
      </c>
      <c r="C129" s="510"/>
      <c r="D129" s="510"/>
      <c r="E129" s="510"/>
      <c r="F129" s="510"/>
      <c r="G129" s="539"/>
      <c r="H129" s="539"/>
      <c r="I129" s="539"/>
      <c r="J129" s="539"/>
      <c r="K129" s="540"/>
      <c r="L129" s="541"/>
      <c r="M129" s="542"/>
      <c r="N129" s="2951"/>
      <c r="O129" s="2951"/>
      <c r="P129" s="2960"/>
      <c r="Q129" s="2937"/>
      <c r="R129" s="2923"/>
      <c r="S129" s="2923"/>
      <c r="T129" s="2923"/>
      <c r="U129" s="2923"/>
      <c r="V129" s="2923"/>
      <c r="W129" s="2923"/>
      <c r="X129" s="2923"/>
      <c r="Y129" s="2923"/>
      <c r="Z129" s="2923"/>
      <c r="AA129" s="2923"/>
      <c r="AB129" s="2923"/>
      <c r="AC129" s="2923"/>
    </row>
    <row r="130" spans="1:29" ht="15.75" thickBot="1">
      <c r="A130" s="490"/>
      <c r="B130" s="499"/>
      <c r="C130" s="516"/>
      <c r="D130" s="516"/>
      <c r="E130" s="516"/>
      <c r="F130" s="516"/>
      <c r="G130" s="492"/>
      <c r="H130" s="492"/>
      <c r="I130" s="492"/>
      <c r="J130" s="492"/>
      <c r="K130" s="492"/>
      <c r="L130" s="492"/>
      <c r="M130" s="493"/>
      <c r="N130" s="2952"/>
      <c r="O130" s="2952"/>
      <c r="P130" s="2960"/>
      <c r="Q130" s="2937"/>
      <c r="R130" s="2923"/>
      <c r="S130" s="2923"/>
      <c r="T130" s="2923"/>
      <c r="U130" s="2923"/>
      <c r="V130" s="2923"/>
      <c r="W130" s="2923"/>
      <c r="X130" s="2923"/>
      <c r="Y130" s="2923"/>
      <c r="Z130" s="2923"/>
      <c r="AA130" s="2923"/>
      <c r="AB130" s="2923"/>
      <c r="AC130" s="2923"/>
    </row>
    <row r="131" spans="1:29" ht="15" thickTop="1">
      <c r="A131" s="555"/>
      <c r="B131" s="502">
        <f>B47</f>
        <v>111</v>
      </c>
      <c r="C131" s="479"/>
      <c r="D131" s="479"/>
      <c r="E131" s="479"/>
      <c r="F131" s="479"/>
      <c r="G131" s="543"/>
      <c r="H131" s="543"/>
      <c r="I131" s="543"/>
      <c r="J131" s="543"/>
      <c r="K131" s="479"/>
      <c r="L131" s="480"/>
      <c r="M131" s="546"/>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5"/>
      <c r="C132" s="526"/>
      <c r="D132" s="526"/>
      <c r="E132" s="526"/>
      <c r="F132" s="526"/>
      <c r="G132" s="547"/>
      <c r="H132" s="547"/>
      <c r="I132" s="547"/>
      <c r="J132" s="547"/>
      <c r="K132" s="547"/>
      <c r="L132" s="547"/>
      <c r="M132" s="548"/>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0 I20 G20 C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C2" xr:uid="{00000000-0002-0000-2400-000016000000}">
      <formula1>"需扣减承租人权益,——"</formula1>
    </dataValidation>
    <dataValidation type="list" allowBlank="1" showInputMessage="1" showErrorMessage="1" sqref="F2" xr:uid="{00000000-0002-0000-2400-000017000000}">
      <formula1>估价方法</formula1>
    </dataValidation>
    <dataValidation type="list" allowBlank="1" showInputMessage="1" showErrorMessage="1" sqref="D49" xr:uid="{00000000-0002-0000-24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2088</v>
      </c>
      <c r="B2" s="1297" t="e">
        <f ca="1">IF(C2="——",ROUND(C43*D3/10000,0),ROUND(C43*D3/10000,0)-D2)</f>
        <v>#DIV/0!</v>
      </c>
      <c r="C2" s="2036"/>
      <c r="D2" s="1037" t="e">
        <f ca="1">SUMIF(INDIRECT("'"&amp;F2&amp;"'"&amp;"!A:A"),"承租人权益价值",INDIRECT("'"&amp;F2&amp;"'"&amp;"!c:c"))</f>
        <v>#REF!</v>
      </c>
      <c r="E2" s="2037" t="s">
        <v>2089</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20815.18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1043"/>
      <c r="M4" s="1044"/>
      <c r="N4" s="1044"/>
      <c r="O4" s="104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1043"/>
      <c r="M5" s="1044"/>
      <c r="N5" s="1044"/>
      <c r="O5" s="1044"/>
      <c r="P5" s="3374"/>
      <c r="Q5" s="3375"/>
      <c r="R5" s="3380"/>
      <c r="S5" s="3381"/>
      <c r="T5" s="3380"/>
      <c r="U5" s="3381"/>
      <c r="V5" s="3384"/>
      <c r="W5" s="3384"/>
      <c r="X5" s="1508"/>
      <c r="Y5" s="3380"/>
      <c r="Z5" s="3381"/>
      <c r="AA5" s="3366"/>
      <c r="AB5" s="3366"/>
      <c r="AC5" s="3366"/>
    </row>
    <row r="6" spans="1:29" ht="15.75" thickBot="1">
      <c r="A6" s="365"/>
      <c r="B6" s="366"/>
      <c r="C6" s="3385" t="s">
        <v>2307</v>
      </c>
      <c r="D6" s="3386"/>
      <c r="E6" s="3393" t="s">
        <v>2307</v>
      </c>
      <c r="F6" s="3394"/>
      <c r="G6" s="3385" t="s">
        <v>2307</v>
      </c>
      <c r="H6" s="3386"/>
      <c r="I6" s="3385" t="s">
        <v>2307</v>
      </c>
      <c r="J6" s="3386"/>
      <c r="K6" s="566" t="s">
        <v>2308</v>
      </c>
      <c r="L6" s="1043"/>
      <c r="M6" s="1044"/>
      <c r="N6" s="1044"/>
      <c r="O6" s="104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389" t="s">
        <v>2313</v>
      </c>
      <c r="Q8" s="3390"/>
      <c r="R8" s="709" t="s">
        <v>17</v>
      </c>
      <c r="S8" s="710">
        <f t="shared" si="0"/>
        <v>0</v>
      </c>
      <c r="T8" s="709" t="s">
        <v>17</v>
      </c>
      <c r="U8" s="710">
        <f t="shared" si="1"/>
        <v>0</v>
      </c>
      <c r="V8" s="709" t="s">
        <v>17</v>
      </c>
      <c r="W8" s="710">
        <f t="shared" si="2"/>
        <v>0</v>
      </c>
      <c r="X8" s="711"/>
      <c r="Y8" s="3389" t="s">
        <v>2313</v>
      </c>
      <c r="Z8" s="3390"/>
      <c r="AA8" s="712" t="e">
        <f t="shared" ref="AA8:AA40" si="3">D8/F8</f>
        <v>#DIV/0!</v>
      </c>
      <c r="AB8" s="712" t="e">
        <f t="shared" ref="AB8:AB40" si="4">D8/H8</f>
        <v>#DIV/0!</v>
      </c>
      <c r="AC8" s="712" t="e">
        <f t="shared" ref="AC8:AC40" si="5">D8/J8</f>
        <v>#DIV/0!</v>
      </c>
    </row>
    <row r="9" spans="1:29" s="113" customFormat="1">
      <c r="A9" s="374" t="s">
        <v>2314</v>
      </c>
      <c r="B9" s="67" t="s">
        <v>2315</v>
      </c>
      <c r="C9" s="375"/>
      <c r="D9" s="131">
        <v>100</v>
      </c>
      <c r="E9" s="378"/>
      <c r="F9" s="131">
        <f>SUMIF(57:57,E9,58:58)-SUMIF(57:57,C9,58:58)+100</f>
        <v>100</v>
      </c>
      <c r="G9" s="376"/>
      <c r="H9" s="131">
        <f>SUMIF(57:57,G9,58:58)-SUMIF(57:57,C9,58:58)+100</f>
        <v>100</v>
      </c>
      <c r="I9" s="376"/>
      <c r="J9" s="131">
        <f>SUMIF(57:57,I9,58:58)-SUMIF(57:57,C9,58:58)+100</f>
        <v>100</v>
      </c>
      <c r="K9" s="567"/>
      <c r="L9" s="1045"/>
      <c r="M9" s="1046"/>
      <c r="N9" s="1046"/>
      <c r="O9" s="1047"/>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81"/>
      <c r="D10" s="132">
        <v>100</v>
      </c>
      <c r="E10" s="381"/>
      <c r="F10" s="132">
        <f>SUMIF(59:59,E10,60:60)-SUMIF(59:59,C10,60:60)+100</f>
        <v>100</v>
      </c>
      <c r="G10" s="382"/>
      <c r="H10" s="132">
        <f>SUMIF(59:59,G10,60:60)-SUMIF(59:59,C10,60:60)+100</f>
        <v>100</v>
      </c>
      <c r="I10" s="381"/>
      <c r="J10" s="132">
        <f>SUMIF(59:59,I10,60:60)-SUMIF(59:59,C10,60:60)+100</f>
        <v>100</v>
      </c>
      <c r="K10" s="568"/>
      <c r="L10" s="1048"/>
      <c r="M10" s="1049"/>
      <c r="N10" s="1049"/>
      <c r="O10" s="1050"/>
      <c r="P10" s="3355"/>
      <c r="Q10" s="1496" t="str">
        <f t="shared" si="6"/>
        <v>土地使用年限（年）</v>
      </c>
      <c r="R10" s="709" t="s">
        <v>17</v>
      </c>
      <c r="S10" s="710">
        <f t="shared" si="0"/>
        <v>100</v>
      </c>
      <c r="T10" s="709" t="s">
        <v>17</v>
      </c>
      <c r="U10" s="710">
        <f t="shared" si="1"/>
        <v>100</v>
      </c>
      <c r="V10" s="709" t="s">
        <v>17</v>
      </c>
      <c r="W10" s="710">
        <f t="shared" si="2"/>
        <v>100</v>
      </c>
      <c r="X10" s="711"/>
      <c r="Y10" s="3364"/>
      <c r="Z10" s="55" t="str">
        <f t="shared" si="7"/>
        <v>土地使用年限（年）</v>
      </c>
      <c r="AA10" s="712">
        <f t="shared" si="3"/>
        <v>1</v>
      </c>
      <c r="AB10" s="712">
        <f t="shared" si="4"/>
        <v>1</v>
      </c>
      <c r="AC10" s="712">
        <f t="shared" si="5"/>
        <v>1</v>
      </c>
    </row>
    <row r="11" spans="1:29" ht="15">
      <c r="A11" s="386"/>
      <c r="B11" s="380" t="s">
        <v>2319</v>
      </c>
      <c r="C11" s="387"/>
      <c r="D11" s="132">
        <v>100</v>
      </c>
      <c r="E11" s="387"/>
      <c r="F11" s="132" t="e">
        <f>LOOKUP(E11,62:62,63:63)-LOOKUP(C11,62:62,63:63)+100</f>
        <v>#N/A</v>
      </c>
      <c r="G11" s="388"/>
      <c r="H11" s="132" t="e">
        <f>LOOKUP(G11,62:62,63:63)-LOOKUP(C11,62:62,63:63)+100</f>
        <v>#N/A</v>
      </c>
      <c r="I11" s="387"/>
      <c r="J11" s="132" t="e">
        <f>LOOKUP(I11,62:62,63:63)-LOOKUP(C11,62:62,63:63)+100</f>
        <v>#N/A</v>
      </c>
      <c r="K11" s="568"/>
      <c r="L11" s="1051"/>
      <c r="M11" s="1044"/>
      <c r="N11" s="1044"/>
      <c r="O11" s="105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392"/>
      <c r="F12" s="132">
        <f>SUMIF(64:64,E12,65:65)-SUMIF(64:64,C12,65:65)+100</f>
        <v>100</v>
      </c>
      <c r="G12" s="2125"/>
      <c r="H12" s="132">
        <f>SUMIF(64:64,G12,65:65)-SUMIF(64:64,C12,65:65)+100</f>
        <v>100</v>
      </c>
      <c r="I12" s="427"/>
      <c r="J12" s="132">
        <f>SUMIF(64:64,I12,65:65)-SUMIF(64:64,C12,65:65)+100</f>
        <v>100</v>
      </c>
      <c r="K12" s="569"/>
      <c r="L12" s="1045"/>
      <c r="M12" s="1046"/>
      <c r="N12" s="1046"/>
      <c r="O12" s="1047"/>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392"/>
      <c r="F13" s="132">
        <f>SUMIF(66:66,E13,67:67)-SUMIF(66:66,C13,67:67)+100</f>
        <v>100</v>
      </c>
      <c r="G13" s="2125"/>
      <c r="H13" s="393">
        <f>SUMIF(66:66,G13,67:67)-SUMIF(66:66,C13,67:67)+100</f>
        <v>100</v>
      </c>
      <c r="I13" s="427"/>
      <c r="J13" s="393">
        <f>SUMIF(66:66,I13,67:67)-SUMIF(66:66,C13,67:67)+100</f>
        <v>100</v>
      </c>
      <c r="K13" s="569"/>
      <c r="L13" s="1053"/>
      <c r="M13" s="1044"/>
      <c r="N13" s="1044"/>
      <c r="O13" s="105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25"/>
      <c r="H14" s="396">
        <f>SUMIF(68:68,G14,69:69)-SUMIF(68:68,C14,69:69)+100</f>
        <v>100</v>
      </c>
      <c r="I14" s="427"/>
      <c r="J14" s="396">
        <f>SUMIF(68:68,I14,69:69)-SUMIF(68:68,C14,69:69)+100</f>
        <v>100</v>
      </c>
      <c r="K14" s="569"/>
      <c r="L14" s="1053"/>
      <c r="M14" s="1044"/>
      <c r="N14" s="1044"/>
      <c r="O14" s="105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57">
      <c r="A15" s="398" t="s">
        <v>2320</v>
      </c>
      <c r="B15" s="65" t="s">
        <v>2464</v>
      </c>
      <c r="C15" s="212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360" t="s">
        <v>2321</v>
      </c>
      <c r="Q15" s="1505" t="str">
        <f t="shared" si="6"/>
        <v>产业集聚程度</v>
      </c>
      <c r="R15" s="713" t="s">
        <v>17</v>
      </c>
      <c r="S15" s="714">
        <f t="shared" si="0"/>
        <v>100</v>
      </c>
      <c r="T15" s="713" t="s">
        <v>17</v>
      </c>
      <c r="U15" s="714">
        <f t="shared" si="1"/>
        <v>100</v>
      </c>
      <c r="V15" s="713" t="s">
        <v>17</v>
      </c>
      <c r="W15" s="714">
        <f t="shared" si="2"/>
        <v>100</v>
      </c>
      <c r="X15" s="1508"/>
      <c r="Y15" s="3360" t="s">
        <v>2321</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361"/>
      <c r="Q16" s="1505"/>
      <c r="R16" s="713"/>
      <c r="S16" s="714"/>
      <c r="T16" s="713"/>
      <c r="U16" s="714"/>
      <c r="V16" s="713"/>
      <c r="W16" s="714"/>
      <c r="X16" s="1508"/>
      <c r="Y16" s="3361"/>
      <c r="Z16" s="1509"/>
      <c r="AA16" s="1506">
        <v>1</v>
      </c>
      <c r="AB16" s="1506">
        <v>1</v>
      </c>
      <c r="AC16" s="1506">
        <v>1</v>
      </c>
    </row>
    <row r="17" spans="1:29" ht="85.5">
      <c r="A17" s="386"/>
      <c r="B17" s="409" t="s">
        <v>1885</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361"/>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361"/>
      <c r="Q18" s="1505"/>
      <c r="R18" s="713"/>
      <c r="S18" s="714"/>
      <c r="T18" s="713"/>
      <c r="U18" s="714"/>
      <c r="V18" s="713"/>
      <c r="W18" s="714"/>
      <c r="X18" s="1508"/>
      <c r="Y18" s="3361"/>
      <c r="Z18" s="1509"/>
      <c r="AA18" s="1506">
        <v>1</v>
      </c>
      <c r="AB18" s="1506">
        <v>1</v>
      </c>
      <c r="AC18" s="1506">
        <v>1</v>
      </c>
    </row>
    <row r="19" spans="1:29" ht="42.75">
      <c r="A19" s="386"/>
      <c r="B19" s="409" t="s">
        <v>2449</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361"/>
      <c r="Q19" s="1505" t="str">
        <f>B19</f>
        <v>公共配套设施</v>
      </c>
      <c r="R19" s="713" t="s">
        <v>17</v>
      </c>
      <c r="S19" s="714">
        <f>F19</f>
        <v>100</v>
      </c>
      <c r="T19" s="713" t="s">
        <v>17</v>
      </c>
      <c r="U19" s="714">
        <f>H19</f>
        <v>100</v>
      </c>
      <c r="V19" s="713" t="s">
        <v>17</v>
      </c>
      <c r="W19" s="714">
        <f>J19</f>
        <v>100</v>
      </c>
      <c r="X19" s="1508"/>
      <c r="Y19" s="3361"/>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361"/>
      <c r="Q20" s="1505"/>
      <c r="R20" s="713"/>
      <c r="S20" s="714"/>
      <c r="T20" s="713"/>
      <c r="U20" s="714"/>
      <c r="V20" s="713"/>
      <c r="W20" s="714"/>
      <c r="X20" s="1508"/>
      <c r="Y20" s="3361"/>
      <c r="Z20" s="1509"/>
      <c r="AA20" s="1506">
        <v>1</v>
      </c>
      <c r="AB20" s="1506">
        <v>1</v>
      </c>
      <c r="AC20" s="1506">
        <v>1</v>
      </c>
    </row>
    <row r="21" spans="1:29" ht="28.5">
      <c r="A21" s="386"/>
      <c r="B21" s="1264" t="s">
        <v>2450</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361"/>
      <c r="Q21" s="1505" t="str">
        <f>B21</f>
        <v>基础设施水平</v>
      </c>
      <c r="R21" s="713" t="s">
        <v>17</v>
      </c>
      <c r="S21" s="714">
        <f>F21</f>
        <v>100</v>
      </c>
      <c r="T21" s="713" t="s">
        <v>17</v>
      </c>
      <c r="U21" s="714">
        <f>H21</f>
        <v>100</v>
      </c>
      <c r="V21" s="713" t="s">
        <v>17</v>
      </c>
      <c r="W21" s="714">
        <f>J21</f>
        <v>100</v>
      </c>
      <c r="X21" s="1508"/>
      <c r="Y21" s="3361"/>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361"/>
      <c r="Q22" s="1505"/>
      <c r="R22" s="713"/>
      <c r="S22" s="714"/>
      <c r="T22" s="713"/>
      <c r="U22" s="714"/>
      <c r="V22" s="713"/>
      <c r="W22" s="714"/>
      <c r="X22" s="1508"/>
      <c r="Y22" s="3361"/>
      <c r="Z22" s="1509"/>
      <c r="AA22" s="1506">
        <v>1</v>
      </c>
      <c r="AB22" s="1506">
        <v>1</v>
      </c>
      <c r="AC22" s="1506">
        <v>1</v>
      </c>
    </row>
    <row r="23" spans="1:29" ht="71.25">
      <c r="A23" s="386"/>
      <c r="B23" s="409" t="s">
        <v>2451</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361"/>
      <c r="Q23" s="1505" t="str">
        <f>B23</f>
        <v>环境质量</v>
      </c>
      <c r="R23" s="713" t="s">
        <v>17</v>
      </c>
      <c r="S23" s="714">
        <f>F23</f>
        <v>100</v>
      </c>
      <c r="T23" s="713" t="s">
        <v>17</v>
      </c>
      <c r="U23" s="714">
        <f>H23</f>
        <v>100</v>
      </c>
      <c r="V23" s="713" t="s">
        <v>17</v>
      </c>
      <c r="W23" s="714">
        <f>J23</f>
        <v>100</v>
      </c>
      <c r="X23" s="1508"/>
      <c r="Y23" s="3361"/>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361"/>
      <c r="Q24" s="1505"/>
      <c r="R24" s="713"/>
      <c r="S24" s="714"/>
      <c r="T24" s="713"/>
      <c r="U24" s="714"/>
      <c r="V24" s="713"/>
      <c r="W24" s="714"/>
      <c r="X24" s="1508"/>
      <c r="Y24" s="3361"/>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361"/>
      <c r="Q25" s="1505">
        <f>B25</f>
        <v>111</v>
      </c>
      <c r="R25" s="713" t="s">
        <v>17</v>
      </c>
      <c r="S25" s="714">
        <f>F25</f>
        <v>100</v>
      </c>
      <c r="T25" s="713" t="s">
        <v>17</v>
      </c>
      <c r="U25" s="714">
        <f>H25</f>
        <v>100</v>
      </c>
      <c r="V25" s="713" t="s">
        <v>17</v>
      </c>
      <c r="W25" s="714">
        <f>J25</f>
        <v>100</v>
      </c>
      <c r="X25" s="1508"/>
      <c r="Y25" s="3361"/>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361"/>
      <c r="Q26" s="1505">
        <f t="shared" ref="Q26:Q40" si="11">B26</f>
        <v>111</v>
      </c>
      <c r="R26" s="713" t="s">
        <v>17</v>
      </c>
      <c r="S26" s="714">
        <f>F26</f>
        <v>100</v>
      </c>
      <c r="T26" s="713" t="s">
        <v>17</v>
      </c>
      <c r="U26" s="714">
        <f>H26</f>
        <v>100</v>
      </c>
      <c r="V26" s="713" t="s">
        <v>17</v>
      </c>
      <c r="W26" s="714">
        <f>J26</f>
        <v>100</v>
      </c>
      <c r="X26" s="1508"/>
      <c r="Y26" s="3361"/>
      <c r="Z26" s="1509">
        <f>Q26</f>
        <v>111</v>
      </c>
      <c r="AA26" s="1506">
        <f t="shared" si="3"/>
        <v>1</v>
      </c>
      <c r="AB26" s="1506">
        <f t="shared" si="4"/>
        <v>1</v>
      </c>
      <c r="AC26" s="1506">
        <f t="shared" si="5"/>
        <v>1</v>
      </c>
    </row>
    <row r="27" spans="1:29" s="113"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361"/>
      <c r="Q27" s="1496">
        <f t="shared" si="11"/>
        <v>111</v>
      </c>
      <c r="R27" s="709" t="s">
        <v>17</v>
      </c>
      <c r="S27" s="710">
        <f>F27</f>
        <v>100</v>
      </c>
      <c r="T27" s="709" t="s">
        <v>17</v>
      </c>
      <c r="U27" s="710">
        <f>H27</f>
        <v>100</v>
      </c>
      <c r="V27" s="709" t="s">
        <v>17</v>
      </c>
      <c r="W27" s="710">
        <f>J27</f>
        <v>100</v>
      </c>
      <c r="X27" s="711"/>
      <c r="Y27" s="3361"/>
      <c r="Z27" s="55">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361"/>
      <c r="Q28" s="1505">
        <f t="shared" si="11"/>
        <v>111</v>
      </c>
      <c r="R28" s="713" t="s">
        <v>17</v>
      </c>
      <c r="S28" s="714">
        <f t="shared" ref="S28:S40" si="12">F28</f>
        <v>100</v>
      </c>
      <c r="T28" s="713" t="s">
        <v>17</v>
      </c>
      <c r="U28" s="714">
        <f t="shared" ref="U28:U40" si="13">H28</f>
        <v>100</v>
      </c>
      <c r="V28" s="713" t="s">
        <v>17</v>
      </c>
      <c r="W28" s="714">
        <f t="shared" ref="W28:W40" si="14">J28</f>
        <v>100</v>
      </c>
      <c r="X28" s="1508"/>
      <c r="Y28" s="3361"/>
      <c r="Z28" s="1509">
        <f t="shared" ref="Z28:Z40" si="15">Q28</f>
        <v>111</v>
      </c>
      <c r="AA28" s="1506">
        <f t="shared" si="3"/>
        <v>1</v>
      </c>
      <c r="AB28" s="1506">
        <f t="shared" si="4"/>
        <v>1</v>
      </c>
      <c r="AC28" s="1506">
        <f t="shared" si="5"/>
        <v>1</v>
      </c>
    </row>
    <row r="29" spans="1:29" ht="28.5">
      <c r="A29" s="424" t="s">
        <v>2324</v>
      </c>
      <c r="B29" s="67" t="s">
        <v>2454</v>
      </c>
      <c r="C29" s="2122"/>
      <c r="D29" s="425">
        <v>100</v>
      </c>
      <c r="E29" s="2122"/>
      <c r="F29" s="419">
        <f>SUMIF(88:88,E29,89:89)-SUMIF(88:88,C29,89:89)+100</f>
        <v>100</v>
      </c>
      <c r="G29" s="2122"/>
      <c r="H29" s="393">
        <f>SUMIF(88:88,G29,89:89)-SUMIF(88:88,C29,89:89)+100</f>
        <v>100</v>
      </c>
      <c r="I29" s="2122"/>
      <c r="J29" s="425">
        <f>SUMIF(88:88,I29,89:89)-SUMIF(88:88,C29,89:89)+100</f>
        <v>100</v>
      </c>
      <c r="K29" s="568"/>
      <c r="L29" s="1053"/>
      <c r="M29" s="1044"/>
      <c r="N29" s="1044"/>
      <c r="O29" s="1052"/>
      <c r="P29" s="3362" t="s">
        <v>2326</v>
      </c>
      <c r="Q29" s="1505" t="str">
        <f t="shared" si="11"/>
        <v>建筑类型</v>
      </c>
      <c r="R29" s="713" t="s">
        <v>17</v>
      </c>
      <c r="S29" s="714">
        <f t="shared" si="12"/>
        <v>100</v>
      </c>
      <c r="T29" s="713" t="s">
        <v>17</v>
      </c>
      <c r="U29" s="714">
        <f t="shared" si="13"/>
        <v>100</v>
      </c>
      <c r="V29" s="713" t="s">
        <v>17</v>
      </c>
      <c r="W29" s="714">
        <f t="shared" si="14"/>
        <v>100</v>
      </c>
      <c r="X29" s="1508"/>
      <c r="Y29" s="3363" t="s">
        <v>2326</v>
      </c>
      <c r="Z29" s="1509" t="str">
        <f t="shared" si="15"/>
        <v>建筑类型</v>
      </c>
      <c r="AA29" s="1506">
        <f t="shared" si="3"/>
        <v>1</v>
      </c>
      <c r="AB29" s="1506">
        <f t="shared" si="4"/>
        <v>1</v>
      </c>
      <c r="AC29" s="1506">
        <f t="shared" si="5"/>
        <v>1</v>
      </c>
    </row>
    <row r="30" spans="1:29" s="429" customFormat="1" ht="15">
      <c r="A30" s="426"/>
      <c r="B30" s="380" t="s">
        <v>2327</v>
      </c>
      <c r="C30" s="427"/>
      <c r="D30" s="132">
        <v>100</v>
      </c>
      <c r="E30" s="388"/>
      <c r="F30" s="383" t="e">
        <f>LOOKUP(E30,91:91,92:92)-LOOKUP(C30,91:91,92:92)+100</f>
        <v>#N/A</v>
      </c>
      <c r="G30" s="387"/>
      <c r="H30" s="132" t="e">
        <f>LOOKUP(G30,91:91,92:92)-LOOKUP(C30,91:91,92:92)+100</f>
        <v>#N/A</v>
      </c>
      <c r="I30" s="387"/>
      <c r="J30" s="132" t="e">
        <f>LOOKUP(I30,91:91,92:92)-LOOKUP(C30,91:91,92:92)+100</f>
        <v>#N/A</v>
      </c>
      <c r="K30" s="569"/>
      <c r="L30" s="1051"/>
      <c r="M30" s="1054"/>
      <c r="N30" s="1054"/>
      <c r="O30" s="1055"/>
      <c r="P30" s="3363"/>
      <c r="Q30" s="715" t="str">
        <f t="shared" si="11"/>
        <v>项目建筑规模</v>
      </c>
      <c r="R30" s="716" t="s">
        <v>17</v>
      </c>
      <c r="S30" s="717" t="e">
        <f t="shared" si="12"/>
        <v>#N/A</v>
      </c>
      <c r="T30" s="716" t="s">
        <v>17</v>
      </c>
      <c r="U30" s="717" t="e">
        <f t="shared" si="13"/>
        <v>#N/A</v>
      </c>
      <c r="V30" s="716" t="s">
        <v>17</v>
      </c>
      <c r="W30" s="717" t="e">
        <f t="shared" si="14"/>
        <v>#N/A</v>
      </c>
      <c r="X30" s="718"/>
      <c r="Y30" s="3363"/>
      <c r="Z30" s="719" t="str">
        <f t="shared" si="15"/>
        <v>项目建筑规模</v>
      </c>
      <c r="AA30" s="1506" t="e">
        <f t="shared" si="3"/>
        <v>#N/A</v>
      </c>
      <c r="AB30" s="1506" t="e">
        <f t="shared" si="4"/>
        <v>#N/A</v>
      </c>
      <c r="AC30" s="1506"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363"/>
      <c r="Q31" s="1505" t="str">
        <f t="shared" si="11"/>
        <v>建筑结构</v>
      </c>
      <c r="R31" s="713" t="s">
        <v>17</v>
      </c>
      <c r="S31" s="714">
        <f t="shared" si="12"/>
        <v>100</v>
      </c>
      <c r="T31" s="713" t="s">
        <v>17</v>
      </c>
      <c r="U31" s="714">
        <f t="shared" si="13"/>
        <v>100</v>
      </c>
      <c r="V31" s="713" t="s">
        <v>17</v>
      </c>
      <c r="W31" s="714">
        <f t="shared" si="14"/>
        <v>100</v>
      </c>
      <c r="X31" s="1508"/>
      <c r="Y31" s="3363"/>
      <c r="Z31" s="1509" t="str">
        <f t="shared" si="15"/>
        <v>建筑结构</v>
      </c>
      <c r="AA31" s="1506">
        <f t="shared" si="3"/>
        <v>1</v>
      </c>
      <c r="AB31" s="1506">
        <f t="shared" si="4"/>
        <v>1</v>
      </c>
      <c r="AC31" s="1506">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363"/>
      <c r="Q32" s="1505" t="str">
        <f t="shared" si="11"/>
        <v>公共部分装修</v>
      </c>
      <c r="R32" s="713" t="s">
        <v>17</v>
      </c>
      <c r="S32" s="714">
        <f t="shared" si="12"/>
        <v>100</v>
      </c>
      <c r="T32" s="713" t="s">
        <v>17</v>
      </c>
      <c r="U32" s="714">
        <f t="shared" si="13"/>
        <v>100</v>
      </c>
      <c r="V32" s="713" t="s">
        <v>17</v>
      </c>
      <c r="W32" s="714">
        <f t="shared" si="14"/>
        <v>100</v>
      </c>
      <c r="X32" s="1508"/>
      <c r="Y32" s="3363"/>
      <c r="Z32" s="1509" t="str">
        <f t="shared" si="15"/>
        <v>公共部分装修</v>
      </c>
      <c r="AA32" s="1506">
        <f t="shared" si="3"/>
        <v>1</v>
      </c>
      <c r="AB32" s="1506">
        <f t="shared" si="4"/>
        <v>1</v>
      </c>
      <c r="AC32" s="1506">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363"/>
      <c r="Q33" s="1505" t="str">
        <f t="shared" si="11"/>
        <v>成新度</v>
      </c>
      <c r="R33" s="713" t="s">
        <v>17</v>
      </c>
      <c r="S33" s="714" t="e">
        <f t="shared" si="12"/>
        <v>#N/A</v>
      </c>
      <c r="T33" s="713" t="s">
        <v>17</v>
      </c>
      <c r="U33" s="714" t="e">
        <f t="shared" si="13"/>
        <v>#N/A</v>
      </c>
      <c r="V33" s="713" t="s">
        <v>17</v>
      </c>
      <c r="W33" s="714" t="e">
        <f t="shared" si="14"/>
        <v>#N/A</v>
      </c>
      <c r="X33" s="1508"/>
      <c r="Y33" s="3363"/>
      <c r="Z33" s="1509" t="str">
        <f t="shared" si="15"/>
        <v>成新度</v>
      </c>
      <c r="AA33" s="1506" t="e">
        <f t="shared" si="3"/>
        <v>#N/A</v>
      </c>
      <c r="AB33" s="1506" t="e">
        <f t="shared" si="4"/>
        <v>#N/A</v>
      </c>
      <c r="AC33" s="1506" t="e">
        <f t="shared" si="5"/>
        <v>#N/A</v>
      </c>
    </row>
    <row r="34" spans="1:29" s="113" customFormat="1" ht="15">
      <c r="A34" s="431"/>
      <c r="B34" s="380" t="s">
        <v>2456</v>
      </c>
      <c r="C34" s="418"/>
      <c r="D34" s="132">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363"/>
      <c r="Q34" s="1496" t="str">
        <f t="shared" si="11"/>
        <v>物业管理</v>
      </c>
      <c r="R34" s="709" t="s">
        <v>17</v>
      </c>
      <c r="S34" s="710">
        <f t="shared" si="12"/>
        <v>100</v>
      </c>
      <c r="T34" s="709" t="s">
        <v>17</v>
      </c>
      <c r="U34" s="710">
        <f t="shared" si="13"/>
        <v>100</v>
      </c>
      <c r="V34" s="709" t="s">
        <v>17</v>
      </c>
      <c r="W34" s="710">
        <f t="shared" si="14"/>
        <v>100</v>
      </c>
      <c r="X34" s="711"/>
      <c r="Y34" s="3363"/>
      <c r="Z34" s="55"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363" t="s">
        <v>2326</v>
      </c>
      <c r="Q35" s="1505" t="str">
        <f t="shared" si="11"/>
        <v>市政基础设施</v>
      </c>
      <c r="R35" s="713" t="s">
        <v>17</v>
      </c>
      <c r="S35" s="714">
        <f t="shared" si="12"/>
        <v>100</v>
      </c>
      <c r="T35" s="713" t="s">
        <v>17</v>
      </c>
      <c r="U35" s="714">
        <f t="shared" si="13"/>
        <v>100</v>
      </c>
      <c r="V35" s="713" t="s">
        <v>17</v>
      </c>
      <c r="W35" s="714">
        <f t="shared" si="14"/>
        <v>100</v>
      </c>
      <c r="X35" s="1508"/>
      <c r="Y35" s="3363" t="s">
        <v>2326</v>
      </c>
      <c r="Z35" s="1509" t="str">
        <f t="shared" si="15"/>
        <v>市政基础设施</v>
      </c>
      <c r="AA35" s="1506">
        <f t="shared" si="3"/>
        <v>1</v>
      </c>
      <c r="AB35" s="1506">
        <f t="shared" si="4"/>
        <v>1</v>
      </c>
      <c r="AC35" s="1506">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363"/>
      <c r="Q36" s="1505" t="str">
        <f t="shared" si="11"/>
        <v>内部装修</v>
      </c>
      <c r="R36" s="713" t="s">
        <v>17</v>
      </c>
      <c r="S36" s="714">
        <f t="shared" si="12"/>
        <v>100</v>
      </c>
      <c r="T36" s="713" t="s">
        <v>17</v>
      </c>
      <c r="U36" s="714">
        <f t="shared" si="13"/>
        <v>100</v>
      </c>
      <c r="V36" s="713" t="s">
        <v>17</v>
      </c>
      <c r="W36" s="714">
        <f t="shared" si="14"/>
        <v>100</v>
      </c>
      <c r="X36" s="1508"/>
      <c r="Y36" s="3363"/>
      <c r="Z36" s="1509" t="str">
        <f t="shared" si="15"/>
        <v>内部装修</v>
      </c>
      <c r="AA36" s="1506">
        <f t="shared" si="3"/>
        <v>1</v>
      </c>
      <c r="AB36" s="1506">
        <f t="shared" si="4"/>
        <v>1</v>
      </c>
      <c r="AC36" s="1506">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363"/>
      <c r="Q37" s="1505" t="str">
        <f t="shared" si="11"/>
        <v>内部装修状况</v>
      </c>
      <c r="R37" s="713" t="s">
        <v>17</v>
      </c>
      <c r="S37" s="714">
        <f t="shared" si="12"/>
        <v>100</v>
      </c>
      <c r="T37" s="713" t="s">
        <v>17</v>
      </c>
      <c r="U37" s="714">
        <f t="shared" si="13"/>
        <v>100</v>
      </c>
      <c r="V37" s="713" t="s">
        <v>17</v>
      </c>
      <c r="W37" s="714">
        <f t="shared" si="14"/>
        <v>100</v>
      </c>
      <c r="X37" s="1508"/>
      <c r="Y37" s="3363"/>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363"/>
      <c r="Q38" s="715">
        <f t="shared" si="11"/>
        <v>111</v>
      </c>
      <c r="R38" s="716" t="s">
        <v>17</v>
      </c>
      <c r="S38" s="717">
        <f t="shared" si="12"/>
        <v>100</v>
      </c>
      <c r="T38" s="716" t="s">
        <v>17</v>
      </c>
      <c r="U38" s="717">
        <f t="shared" si="13"/>
        <v>100</v>
      </c>
      <c r="V38" s="716" t="s">
        <v>17</v>
      </c>
      <c r="W38" s="717">
        <f t="shared" si="14"/>
        <v>100</v>
      </c>
      <c r="X38" s="718"/>
      <c r="Y38" s="3363"/>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363"/>
      <c r="Q39" s="1505">
        <f t="shared" si="11"/>
        <v>111</v>
      </c>
      <c r="R39" s="713" t="s">
        <v>17</v>
      </c>
      <c r="S39" s="714">
        <f t="shared" si="12"/>
        <v>100</v>
      </c>
      <c r="T39" s="713" t="s">
        <v>17</v>
      </c>
      <c r="U39" s="714">
        <f t="shared" si="13"/>
        <v>100</v>
      </c>
      <c r="V39" s="713" t="s">
        <v>17</v>
      </c>
      <c r="W39" s="714">
        <f t="shared" si="14"/>
        <v>100</v>
      </c>
      <c r="X39" s="1508"/>
      <c r="Y39" s="3363"/>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28"/>
      <c r="Q40" s="1505">
        <f t="shared" si="11"/>
        <v>111</v>
      </c>
      <c r="R40" s="713" t="s">
        <v>17</v>
      </c>
      <c r="S40" s="714">
        <f t="shared" si="12"/>
        <v>100</v>
      </c>
      <c r="T40" s="713" t="s">
        <v>17</v>
      </c>
      <c r="U40" s="714">
        <f t="shared" si="13"/>
        <v>100</v>
      </c>
      <c r="V40" s="713" t="s">
        <v>17</v>
      </c>
      <c r="W40" s="714">
        <f t="shared" si="14"/>
        <v>100</v>
      </c>
      <c r="X40" s="1508"/>
      <c r="Y40" s="3528"/>
      <c r="Z40" s="1509">
        <f t="shared" si="15"/>
        <v>111</v>
      </c>
      <c r="AA40" s="1506">
        <f t="shared" si="3"/>
        <v>1</v>
      </c>
      <c r="AB40" s="1506">
        <f t="shared" si="4"/>
        <v>1</v>
      </c>
      <c r="AC40" s="1506">
        <f t="shared" si="5"/>
        <v>1</v>
      </c>
    </row>
    <row r="41" spans="1:29" ht="15">
      <c r="A41" s="437" t="s">
        <v>2338</v>
      </c>
      <c r="B41" s="438"/>
      <c r="C41" s="1287" t="s">
        <v>1</v>
      </c>
      <c r="D41" s="1288"/>
      <c r="E41" s="1289"/>
      <c r="F41" s="1290"/>
      <c r="G41" s="1291"/>
      <c r="H41" s="1292"/>
      <c r="I41" s="1289"/>
      <c r="J41" s="1292"/>
      <c r="K41" s="722"/>
      <c r="L41" s="1056"/>
      <c r="M41" s="1057"/>
      <c r="N41" s="1044"/>
      <c r="O41" s="1057"/>
      <c r="P41" s="3355" t="str">
        <f>A41</f>
        <v>成交单价（元/平方米）</v>
      </c>
      <c r="Q41" s="3355"/>
      <c r="R41" s="3356">
        <f>E41</f>
        <v>0</v>
      </c>
      <c r="S41" s="3356"/>
      <c r="T41" s="3356">
        <f>G41</f>
        <v>0</v>
      </c>
      <c r="U41" s="3356"/>
      <c r="V41" s="3356">
        <f>I41</f>
        <v>0</v>
      </c>
      <c r="W41" s="3356"/>
      <c r="X41" s="698"/>
      <c r="Y41" s="720"/>
      <c r="Z41" s="698"/>
      <c r="AA41" s="698"/>
      <c r="AB41" s="698"/>
      <c r="AC41" s="698"/>
    </row>
    <row r="42" spans="1:29" ht="15.75" thickBot="1">
      <c r="A42" s="444" t="s">
        <v>2430</v>
      </c>
      <c r="B42" s="445"/>
      <c r="C42" s="1293" t="e">
        <f>R43</f>
        <v>#DIV/0!</v>
      </c>
      <c r="D42" s="2507" t="s">
        <v>2818</v>
      </c>
      <c r="E42" s="1294" t="e">
        <f>R42</f>
        <v>#DIV/0!</v>
      </c>
      <c r="F42" s="2508"/>
      <c r="G42" s="1293" t="e">
        <f>T42</f>
        <v>#DIV/0!</v>
      </c>
      <c r="H42" s="2508"/>
      <c r="I42" s="1294" t="e">
        <f>V42</f>
        <v>#DIV/0!</v>
      </c>
      <c r="J42" s="2508"/>
      <c r="K42" s="2510">
        <f>F42+H42+J42</f>
        <v>0</v>
      </c>
      <c r="L42" s="1056"/>
      <c r="M42" s="1057"/>
      <c r="N42" s="1044"/>
      <c r="O42" s="1057"/>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357" t="str">
        <f>A43</f>
        <v>估价对象XX用房的比较价值（楼面单价，元/平方米）</v>
      </c>
      <c r="Q43" s="3358"/>
      <c r="R43" s="3524" t="e">
        <f>IF(F1="售价",ROUND(IF(D42="简单平均",AVERAGE(R42:V42),R42*F42+T42*H42+V42*J42),0),ROUND(IF(D42="简单平均",AVERAGE(R42:V42),R42*F42+T42*H42+V42*J42),1))</f>
        <v>#DIV/0!</v>
      </c>
      <c r="S43" s="3524"/>
      <c r="T43" s="3524"/>
      <c r="U43" s="3524"/>
      <c r="V43" s="3524"/>
      <c r="W43" s="3524"/>
      <c r="X43" s="698"/>
      <c r="Y43" s="698"/>
      <c r="Z43" s="698"/>
      <c r="AA43" s="698"/>
      <c r="AB43" s="698"/>
      <c r="AC43" s="698"/>
    </row>
    <row r="44" spans="1:29">
      <c r="A44" s="2923"/>
      <c r="B44" s="2923"/>
      <c r="C44" s="2923"/>
      <c r="D44" s="2923"/>
      <c r="E44" s="2923"/>
      <c r="F44" s="2923"/>
      <c r="G44" s="2927"/>
      <c r="H44" s="2923"/>
      <c r="I44" s="2923"/>
      <c r="J44" s="2923"/>
      <c r="K44" s="2928"/>
      <c r="L44" s="1019"/>
      <c r="M44" s="1057"/>
      <c r="N44" s="1057"/>
      <c r="O44" s="1057"/>
    </row>
    <row r="45" spans="1:29">
      <c r="A45" s="2923"/>
      <c r="B45" s="2923"/>
      <c r="C45" s="2923"/>
      <c r="D45" s="2923"/>
      <c r="E45" s="2923"/>
      <c r="F45" s="2923"/>
      <c r="G45" s="2923"/>
      <c r="H45" s="2923"/>
      <c r="I45" s="2923"/>
      <c r="J45" s="2923"/>
      <c r="K45" s="2928"/>
      <c r="L45" s="1019"/>
      <c r="M45" s="1057"/>
      <c r="N45" s="1057"/>
      <c r="O45" s="1057"/>
    </row>
    <row r="46" spans="1:29"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1019"/>
      <c r="M46" s="1057"/>
      <c r="N46" s="1057"/>
      <c r="O46" s="1057"/>
    </row>
    <row r="47" spans="1:29"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1019"/>
      <c r="M47" s="1057"/>
      <c r="N47" s="1057"/>
      <c r="O47" s="1057"/>
    </row>
    <row r="48" spans="1:29"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1060"/>
      <c r="M48" s="1058"/>
      <c r="N48" s="1058"/>
      <c r="O48" s="1058"/>
    </row>
    <row r="49" spans="1:17" s="458" customFormat="1">
      <c r="A49" s="2926"/>
      <c r="B49" s="2929"/>
      <c r="C49" s="2930"/>
      <c r="D49" s="2926"/>
      <c r="E49" s="2926"/>
      <c r="F49" s="2926"/>
      <c r="G49" s="2926"/>
      <c r="H49" s="2926"/>
      <c r="I49" s="2926"/>
      <c r="J49" s="2926"/>
      <c r="K49" s="2931"/>
      <c r="L49" s="1060"/>
      <c r="M49" s="1058"/>
      <c r="N49" s="1058"/>
      <c r="O49" s="1058"/>
    </row>
    <row r="50" spans="1:17">
      <c r="A50" s="2923"/>
      <c r="B50" s="2929"/>
      <c r="C50" s="2930"/>
      <c r="D50" s="2923"/>
      <c r="E50" s="2923"/>
      <c r="F50" s="2923"/>
      <c r="G50" s="2923"/>
      <c r="H50" s="2923"/>
      <c r="I50" s="2923"/>
      <c r="J50" s="2923"/>
      <c r="K50" s="2928"/>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3"/>
    </row>
    <row r="53" spans="1:17" s="113" customFormat="1" ht="15">
      <c r="A53" s="465"/>
      <c r="B53" s="466"/>
      <c r="C53" s="1316">
        <v>100</v>
      </c>
      <c r="D53" s="468"/>
      <c r="E53" s="468"/>
      <c r="F53" s="468"/>
      <c r="G53" s="468"/>
      <c r="H53" s="468"/>
      <c r="I53" s="468"/>
      <c r="J53" s="468"/>
      <c r="K53" s="468"/>
      <c r="L53" s="468"/>
      <c r="M53" s="469"/>
      <c r="N53" s="468"/>
      <c r="O53" s="470"/>
      <c r="P53" s="460"/>
    </row>
    <row r="54" spans="1:17" s="113" customFormat="1" ht="15.75" thickBot="1">
      <c r="A54" s="471" t="s">
        <v>2346</v>
      </c>
      <c r="B54" s="472"/>
      <c r="C54" s="473"/>
      <c r="D54" s="474"/>
      <c r="E54" s="474"/>
      <c r="F54" s="474"/>
      <c r="G54" s="474"/>
      <c r="H54" s="474"/>
      <c r="I54" s="474"/>
      <c r="J54" s="474"/>
      <c r="K54" s="474"/>
      <c r="L54" s="474"/>
      <c r="M54" s="475"/>
      <c r="N54" s="2968"/>
      <c r="O54" s="2969"/>
      <c r="P54" s="460"/>
      <c r="Q54" s="460"/>
    </row>
    <row r="55" spans="1:17" s="113" customFormat="1" ht="15">
      <c r="A55" s="477" t="s">
        <v>2311</v>
      </c>
      <c r="B55" s="466"/>
      <c r="C55" s="478" t="s">
        <v>2413</v>
      </c>
      <c r="D55" s="479"/>
      <c r="E55" s="479"/>
      <c r="F55" s="479"/>
      <c r="G55" s="479"/>
      <c r="H55" s="479"/>
      <c r="I55" s="479"/>
      <c r="J55" s="479"/>
      <c r="K55" s="479"/>
      <c r="L55" s="480"/>
      <c r="M55" s="481"/>
      <c r="N55" s="1062"/>
      <c r="O55" s="1062"/>
      <c r="P55" s="482"/>
      <c r="Q55" s="460"/>
    </row>
    <row r="56" spans="1:17" s="113"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5"/>
      <c r="Q57" s="460"/>
    </row>
    <row r="58" spans="1:17" ht="15.75" thickBot="1">
      <c r="A58" s="490"/>
      <c r="B58" s="491"/>
      <c r="C58" s="492">
        <v>100</v>
      </c>
      <c r="D58" s="492"/>
      <c r="E58" s="492"/>
      <c r="F58" s="492"/>
      <c r="G58" s="492"/>
      <c r="H58" s="492"/>
      <c r="I58" s="492"/>
      <c r="J58" s="492"/>
      <c r="K58" s="492"/>
      <c r="L58" s="492"/>
      <c r="M58" s="493"/>
      <c r="N58" s="1064"/>
      <c r="O58" s="1064"/>
      <c r="P58" s="45"/>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5"/>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5"/>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5"/>
      <c r="Q61" s="460"/>
    </row>
    <row r="62" spans="1:17" ht="15">
      <c r="A62" s="490"/>
      <c r="B62" s="504"/>
      <c r="C62" s="505"/>
      <c r="D62" s="505"/>
      <c r="E62" s="505"/>
      <c r="F62" s="505"/>
      <c r="G62" s="505"/>
      <c r="H62" s="505"/>
      <c r="I62" s="505"/>
      <c r="J62" s="505"/>
      <c r="K62" s="506"/>
      <c r="L62" s="507"/>
      <c r="M62" s="508"/>
      <c r="N62" s="1063"/>
      <c r="O62" s="1063"/>
      <c r="P62" s="45"/>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5"/>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5"/>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5"/>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5"/>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5"/>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5"/>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5"/>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5"/>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5"/>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5"/>
      <c r="Q79" s="460"/>
    </row>
    <row r="80" spans="1:17" s="113" customFormat="1" ht="15.75" thickTop="1">
      <c r="A80" s="535"/>
      <c r="B80" s="494">
        <f>B25</f>
        <v>111</v>
      </c>
      <c r="C80" s="510"/>
      <c r="D80" s="510"/>
      <c r="E80" s="510"/>
      <c r="F80" s="510"/>
      <c r="G80" s="510"/>
      <c r="H80" s="510"/>
      <c r="I80" s="510"/>
      <c r="J80" s="510"/>
      <c r="K80" s="510"/>
      <c r="L80" s="536"/>
      <c r="M80" s="537"/>
      <c r="N80" s="1062"/>
      <c r="O80" s="1062"/>
      <c r="P80" s="45"/>
      <c r="Q80" s="460"/>
    </row>
    <row r="81" spans="1:17" s="113" customFormat="1" ht="15.75" thickBot="1">
      <c r="A81" s="535"/>
      <c r="B81" s="499"/>
      <c r="C81" s="516"/>
      <c r="D81" s="492"/>
      <c r="E81" s="492"/>
      <c r="F81" s="492"/>
      <c r="G81" s="492"/>
      <c r="H81" s="492"/>
      <c r="I81" s="492"/>
      <c r="J81" s="492"/>
      <c r="K81" s="492"/>
      <c r="L81" s="492"/>
      <c r="M81" s="493"/>
      <c r="N81" s="1064"/>
      <c r="O81" s="1064"/>
      <c r="P81" s="45"/>
      <c r="Q81" s="460"/>
    </row>
    <row r="82" spans="1:17" s="113" customFormat="1" ht="15.75" thickTop="1">
      <c r="A82" s="535"/>
      <c r="B82" s="494">
        <f>B26</f>
        <v>111</v>
      </c>
      <c r="C82" s="510"/>
      <c r="D82" s="510"/>
      <c r="E82" s="510"/>
      <c r="F82" s="510"/>
      <c r="G82" s="510"/>
      <c r="H82" s="510"/>
      <c r="I82" s="510"/>
      <c r="J82" s="510"/>
      <c r="K82" s="510"/>
      <c r="L82" s="536"/>
      <c r="M82" s="537"/>
      <c r="N82" s="1062"/>
      <c r="O82" s="1062"/>
      <c r="P82" s="45"/>
      <c r="Q82" s="460"/>
    </row>
    <row r="83" spans="1:17" s="113" customFormat="1" ht="15.75" thickBot="1">
      <c r="A83" s="535"/>
      <c r="B83" s="499"/>
      <c r="C83" s="516"/>
      <c r="D83" s="492"/>
      <c r="E83" s="492"/>
      <c r="F83" s="492"/>
      <c r="G83" s="492"/>
      <c r="H83" s="492"/>
      <c r="I83" s="492"/>
      <c r="J83" s="492"/>
      <c r="K83" s="492"/>
      <c r="L83" s="492"/>
      <c r="M83" s="493"/>
      <c r="N83" s="1064"/>
      <c r="O83" s="1064"/>
      <c r="P83" s="45"/>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5"/>
      <c r="Q86" s="460"/>
    </row>
    <row r="87" spans="1:17" ht="15.75" thickBot="1">
      <c r="A87" s="2083"/>
      <c r="B87" s="525"/>
      <c r="C87" s="526"/>
      <c r="D87" s="526"/>
      <c r="E87" s="526"/>
      <c r="F87" s="526"/>
      <c r="G87" s="547"/>
      <c r="H87" s="547"/>
      <c r="I87" s="547"/>
      <c r="J87" s="547"/>
      <c r="K87" s="547"/>
      <c r="L87" s="547"/>
      <c r="M87" s="548"/>
      <c r="N87" s="1064"/>
      <c r="O87" s="1064"/>
      <c r="P87" s="45"/>
      <c r="Q87" s="460"/>
    </row>
    <row r="88" spans="1:17">
      <c r="A88" s="483" t="s">
        <v>2324</v>
      </c>
      <c r="B88" s="484" t="s">
        <v>2373</v>
      </c>
      <c r="C88" s="486"/>
      <c r="D88" s="486"/>
      <c r="E88" s="486"/>
      <c r="F88" s="486"/>
      <c r="G88" s="486"/>
      <c r="H88" s="486"/>
      <c r="I88" s="486"/>
      <c r="J88" s="486"/>
      <c r="K88" s="487"/>
      <c r="L88" s="488"/>
      <c r="M88" s="489"/>
      <c r="N88" s="1063"/>
      <c r="O88" s="1063"/>
      <c r="P88" s="45"/>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5"/>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5"/>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5"/>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5"/>
      <c r="Q94" s="460"/>
    </row>
    <row r="95" spans="1:17" ht="15" thickTop="1">
      <c r="A95" s="555"/>
      <c r="B95" s="494" t="s">
        <v>2377</v>
      </c>
      <c r="C95" s="510"/>
      <c r="D95" s="510"/>
      <c r="E95" s="510"/>
      <c r="F95" s="539"/>
      <c r="G95" s="539"/>
      <c r="H95" s="539"/>
      <c r="I95" s="539"/>
      <c r="J95" s="539"/>
      <c r="K95" s="540"/>
      <c r="L95" s="541"/>
      <c r="M95" s="542"/>
      <c r="N95" s="1063"/>
      <c r="O95" s="1063"/>
      <c r="P95" s="45"/>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5"/>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5"/>
      <c r="Q97" s="460"/>
    </row>
    <row r="98" spans="1:17">
      <c r="A98" s="555"/>
      <c r="B98" s="502"/>
      <c r="C98" s="559">
        <v>0.5</v>
      </c>
      <c r="D98" s="559">
        <v>0.6</v>
      </c>
      <c r="E98" s="559">
        <v>0.7</v>
      </c>
      <c r="F98" s="559">
        <v>0.8</v>
      </c>
      <c r="G98" s="559">
        <v>0.9</v>
      </c>
      <c r="H98" s="559">
        <v>1.0001</v>
      </c>
      <c r="I98" s="578"/>
      <c r="J98" s="578"/>
      <c r="K98" s="579"/>
      <c r="L98" s="580"/>
      <c r="M98" s="581"/>
      <c r="N98" s="1063"/>
      <c r="O98" s="1063"/>
      <c r="P98" s="45"/>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5"/>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5"/>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5"/>
      <c r="Q103" s="460"/>
    </row>
    <row r="104" spans="1:17" ht="15" thickTop="1">
      <c r="A104" s="555"/>
      <c r="B104" s="494" t="s">
        <v>2381</v>
      </c>
      <c r="C104" s="510"/>
      <c r="D104" s="510"/>
      <c r="E104" s="510"/>
      <c r="F104" s="510"/>
      <c r="G104" s="510"/>
      <c r="H104" s="539"/>
      <c r="I104" s="539"/>
      <c r="J104" s="539"/>
      <c r="K104" s="540"/>
      <c r="L104" s="541"/>
      <c r="M104" s="542"/>
      <c r="N104" s="1063"/>
      <c r="O104" s="1063"/>
      <c r="P104" s="45"/>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5"/>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5"/>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5"/>
      <c r="Q110" s="460"/>
    </row>
    <row r="111" spans="1:17" ht="15.75" thickBot="1">
      <c r="A111" s="490"/>
      <c r="B111" s="499"/>
      <c r="C111" s="516"/>
      <c r="D111" s="492"/>
      <c r="E111" s="492"/>
      <c r="F111" s="492"/>
      <c r="G111" s="516"/>
      <c r="H111" s="518"/>
      <c r="I111" s="518"/>
      <c r="J111" s="518"/>
      <c r="K111" s="518"/>
      <c r="L111" s="518"/>
      <c r="M111" s="519"/>
      <c r="N111" s="1064"/>
      <c r="O111" s="1064"/>
      <c r="P111" s="45"/>
      <c r="Q111" s="460"/>
    </row>
    <row r="112" spans="1:17" ht="15" thickTop="1">
      <c r="A112" s="555"/>
      <c r="B112" s="502">
        <f>B40</f>
        <v>111</v>
      </c>
      <c r="C112" s="479"/>
      <c r="D112" s="479"/>
      <c r="E112" s="479"/>
      <c r="F112" s="479"/>
      <c r="G112" s="543"/>
      <c r="H112" s="543"/>
      <c r="I112" s="543"/>
      <c r="J112" s="543"/>
      <c r="K112" s="479"/>
      <c r="L112" s="480"/>
      <c r="M112" s="546"/>
      <c r="N112" s="1063"/>
      <c r="O112" s="1063"/>
      <c r="P112" s="45"/>
      <c r="Q112" s="460"/>
    </row>
    <row r="113" spans="1:17" ht="15.75" thickBot="1">
      <c r="A113" s="2083"/>
      <c r="B113" s="525"/>
      <c r="C113" s="526"/>
      <c r="D113" s="526"/>
      <c r="E113" s="526"/>
      <c r="F113" s="526"/>
      <c r="G113" s="547"/>
      <c r="H113" s="547"/>
      <c r="I113" s="547"/>
      <c r="J113" s="547"/>
      <c r="K113" s="547"/>
      <c r="L113" s="547"/>
      <c r="M113" s="548"/>
      <c r="N113" s="1064"/>
      <c r="O113" s="1064"/>
      <c r="P113" s="45"/>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E20 I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C2" xr:uid="{00000000-0002-0000-2500-000011000000}">
      <formula1>"需扣减承租人权益,——"</formula1>
    </dataValidation>
    <dataValidation type="list" allowBlank="1" showInputMessage="1" showErrorMessage="1" sqref="F2" xr:uid="{00000000-0002-0000-2500-000012000000}">
      <formula1>估价方法</formula1>
    </dataValidation>
    <dataValidation type="list" allowBlank="1" showInputMessage="1" showErrorMessage="1" sqref="D42" xr:uid="{00000000-0002-0000-25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2504</v>
      </c>
      <c r="B1" s="354"/>
      <c r="C1" s="355" t="s">
        <v>2505</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30"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30"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30" ht="15.75" thickBot="1">
      <c r="A6" s="365"/>
      <c r="B6" s="366"/>
      <c r="C6" s="3385" t="s">
        <v>2307</v>
      </c>
      <c r="D6" s="3386"/>
      <c r="E6" s="3393" t="s">
        <v>2307</v>
      </c>
      <c r="F6" s="3394"/>
      <c r="G6" s="3385" t="s">
        <v>2307</v>
      </c>
      <c r="H6" s="3386"/>
      <c r="I6" s="3385" t="s">
        <v>2307</v>
      </c>
      <c r="J6" s="3386"/>
      <c r="K6" s="566" t="s">
        <v>2308</v>
      </c>
      <c r="L6" s="2913"/>
      <c r="M6" s="2914"/>
      <c r="N6" s="2914"/>
      <c r="O6" s="2914"/>
      <c r="P6" s="3376"/>
      <c r="Q6" s="3377"/>
      <c r="R6" s="3380"/>
      <c r="S6" s="3381"/>
      <c r="T6" s="3382"/>
      <c r="U6" s="3383"/>
      <c r="V6" s="3384"/>
      <c r="W6" s="3384"/>
      <c r="X6" s="1508"/>
      <c r="Y6" s="3382"/>
      <c r="Z6" s="3383"/>
      <c r="AA6" s="3367"/>
      <c r="AB6" s="3367"/>
      <c r="AC6" s="3367"/>
    </row>
    <row r="7" spans="1:30" s="113" customFormat="1" ht="15.75" thickBot="1">
      <c r="A7" s="367" t="s">
        <v>2309</v>
      </c>
      <c r="B7" s="368"/>
      <c r="C7" s="369">
        <f>'数据-取费表'!B2</f>
        <v>44617</v>
      </c>
      <c r="D7" s="370">
        <v>100</v>
      </c>
      <c r="E7" s="371"/>
      <c r="F7" s="372">
        <f>SUMIF(70:70,YEAR(E7)&amp;"-"&amp;INT((MONTH(E7)+2)/3),71:71)</f>
        <v>0</v>
      </c>
      <c r="G7" s="2129"/>
      <c r="H7" s="370">
        <f>SUMIF(70:70,YEAR(G7)&amp;"-"&amp;INT((MONTH(G7)+2)/3),71:71)</f>
        <v>0</v>
      </c>
      <c r="I7" s="2129"/>
      <c r="J7" s="370">
        <f>SUMIF(70:70,YEAR(I7)&amp;"-"&amp;INT((MONTH(I7)+2)/3),71:71)</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30" s="113"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5" si="3">D8/F8</f>
        <v>#DIV/0!</v>
      </c>
      <c r="AB8" s="712" t="e">
        <f t="shared" ref="AB8:AB45" si="4">D8/H8</f>
        <v>#DIV/0!</v>
      </c>
      <c r="AC8" s="712" t="e">
        <f t="shared" ref="AC8:AC45" si="5">D8/J8</f>
        <v>#DIV/0!</v>
      </c>
    </row>
    <row r="9" spans="1:30" s="113" customFormat="1">
      <c r="A9" s="374" t="s">
        <v>2314</v>
      </c>
      <c r="B9" s="67" t="s">
        <v>2315</v>
      </c>
      <c r="C9" s="2132"/>
      <c r="D9" s="131">
        <v>100</v>
      </c>
      <c r="E9" s="2132"/>
      <c r="F9" s="131">
        <f>SUMIF(75:75,E9,76:76)-SUMIF(75:75,C9,76:76)+100</f>
        <v>100</v>
      </c>
      <c r="G9" s="2132"/>
      <c r="H9" s="131">
        <f>SUMIF(75:75,G9,76:76)-SUMIF(75:75,C9,76:76)+100</f>
        <v>100</v>
      </c>
      <c r="I9" s="2132"/>
      <c r="J9" s="131">
        <f>SUMIF(75:75,I9,76:76)-SUMIF(75:75,C9,76:76)+100</f>
        <v>100</v>
      </c>
      <c r="K9" s="567"/>
      <c r="L9" s="2915"/>
      <c r="M9" s="2916"/>
      <c r="N9" s="2916"/>
      <c r="O9" s="2970"/>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30" s="385" customFormat="1" ht="27">
      <c r="A10" s="379"/>
      <c r="B10" s="380" t="s">
        <v>2318</v>
      </c>
      <c r="C10" s="390"/>
      <c r="D10" s="132">
        <v>100</v>
      </c>
      <c r="E10" s="423"/>
      <c r="F10" s="132">
        <f>ROUND(100/'数据-取费表'!G16,0)</f>
        <v>101</v>
      </c>
      <c r="G10" s="421"/>
      <c r="H10" s="132">
        <f>ROUND(100/'数据-取费表'!G16,0)</f>
        <v>101</v>
      </c>
      <c r="I10" s="421"/>
      <c r="J10" s="132">
        <f>ROUND(100/'数据-取费表'!G16,0)</f>
        <v>101</v>
      </c>
      <c r="K10" s="627"/>
      <c r="L10" s="2917"/>
      <c r="M10" s="2918"/>
      <c r="N10" s="2918"/>
      <c r="O10" s="2971"/>
      <c r="P10" s="3355"/>
      <c r="Q10" s="1496" t="str">
        <f t="shared" si="6"/>
        <v>土地使用年限（年）</v>
      </c>
      <c r="R10" s="709" t="s">
        <v>17</v>
      </c>
      <c r="S10" s="710">
        <f t="shared" si="0"/>
        <v>101</v>
      </c>
      <c r="T10" s="709" t="s">
        <v>17</v>
      </c>
      <c r="U10" s="710">
        <f t="shared" si="1"/>
        <v>101</v>
      </c>
      <c r="V10" s="709" t="s">
        <v>17</v>
      </c>
      <c r="W10" s="710">
        <f t="shared" si="2"/>
        <v>101</v>
      </c>
      <c r="X10" s="711"/>
      <c r="Y10" s="3364"/>
      <c r="Z10" s="55" t="str">
        <f t="shared" si="7"/>
        <v>土地使用年限（年）</v>
      </c>
      <c r="AA10" s="712">
        <f t="shared" si="3"/>
        <v>0.99009900990099009</v>
      </c>
      <c r="AB10" s="712">
        <f t="shared" si="4"/>
        <v>0.99009900990099009</v>
      </c>
      <c r="AC10" s="712">
        <f t="shared" si="5"/>
        <v>0.99009900990099009</v>
      </c>
    </row>
    <row r="11" spans="1:30" ht="15">
      <c r="A11" s="386"/>
      <c r="B11" s="380" t="s">
        <v>2319</v>
      </c>
      <c r="C11" s="387"/>
      <c r="D11" s="132">
        <v>100</v>
      </c>
      <c r="E11" s="387"/>
      <c r="F11" s="132" t="e">
        <f>LOOKUP(E11,80:80,81:81)-LOOKUP(C11,80:80,81:81)+100</f>
        <v>#N/A</v>
      </c>
      <c r="G11" s="388"/>
      <c r="H11" s="132" t="e">
        <f>LOOKUP(G11,80:80,81:81)-LOOKUP(C11,80:80,81:81)+100</f>
        <v>#N/A</v>
      </c>
      <c r="I11" s="387"/>
      <c r="J11" s="132" t="e">
        <f>LOOKUP(I11,80:80,81:81)-LOOKUP(C11,80:80,81:81)+100</f>
        <v>#N/A</v>
      </c>
      <c r="K11" s="628"/>
      <c r="L11" s="2919"/>
      <c r="M11" s="2914"/>
      <c r="N11" s="2914"/>
      <c r="O11" s="297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30" s="113" customFormat="1" ht="15">
      <c r="A12" s="389"/>
      <c r="B12" s="2048" t="s">
        <v>2507</v>
      </c>
      <c r="C12" s="390"/>
      <c r="D12" s="391">
        <v>100</v>
      </c>
      <c r="E12" s="423"/>
      <c r="F12" s="132">
        <f>SUMIF(82:82,E12,83:83)-SUMIF(82:82,C12,83:83)+100</f>
        <v>100</v>
      </c>
      <c r="G12" s="421"/>
      <c r="H12" s="132">
        <f>SUMIF(82:82,G12,83:83)-SUMIF(82:82,C12,83:83)+100</f>
        <v>100</v>
      </c>
      <c r="I12" s="423"/>
      <c r="J12" s="132">
        <f>SUMIF(82:82,I12,83:83)-SUMIF(82:82,C12,83:83)+100</f>
        <v>100</v>
      </c>
      <c r="K12" s="627"/>
      <c r="L12" s="2915"/>
      <c r="M12" s="2916"/>
      <c r="N12" s="2916"/>
      <c r="O12" s="2970"/>
      <c r="P12" s="3355"/>
      <c r="Q12" s="1496" t="str">
        <f t="shared" si="6"/>
        <v>配建</v>
      </c>
      <c r="R12" s="709" t="s">
        <v>17</v>
      </c>
      <c r="S12" s="710">
        <f t="shared" si="0"/>
        <v>100</v>
      </c>
      <c r="T12" s="709" t="s">
        <v>17</v>
      </c>
      <c r="U12" s="710">
        <f t="shared" si="1"/>
        <v>100</v>
      </c>
      <c r="V12" s="709" t="s">
        <v>17</v>
      </c>
      <c r="W12" s="710">
        <f t="shared" si="2"/>
        <v>100</v>
      </c>
      <c r="X12" s="711"/>
      <c r="Y12" s="3364"/>
      <c r="Z12" s="55" t="str">
        <f t="shared" si="7"/>
        <v>配建</v>
      </c>
      <c r="AA12" s="712">
        <f>D12/F12</f>
        <v>1</v>
      </c>
      <c r="AB12" s="712">
        <f>D12/H12</f>
        <v>1</v>
      </c>
      <c r="AC12" s="712">
        <f>D12/J12</f>
        <v>1</v>
      </c>
    </row>
    <row r="13" spans="1:30" ht="15">
      <c r="A13" s="386"/>
      <c r="B13" s="2048">
        <v>111</v>
      </c>
      <c r="C13" s="392"/>
      <c r="D13" s="393">
        <v>100</v>
      </c>
      <c r="E13" s="505"/>
      <c r="F13" s="132">
        <f>SUMIF(84:84,E13,85:85)-SUMIF(84:84,C13,85:85)+100</f>
        <v>100</v>
      </c>
      <c r="G13" s="629"/>
      <c r="H13" s="393">
        <f>SUMIF(84:84,G13,85:85)-SUMIF(84:84,C13,85:85)+100</f>
        <v>100</v>
      </c>
      <c r="I13" s="629"/>
      <c r="J13" s="393">
        <f>SUMIF(84:84,I13,85:85)-SUMIF(84:84,C13,85:85)+100</f>
        <v>100</v>
      </c>
      <c r="K13" s="627"/>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20"/>
      <c r="M14" s="2914"/>
      <c r="N14" s="2914"/>
      <c r="O14" s="297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D14/F14</f>
        <v>1</v>
      </c>
      <c r="AB14" s="712">
        <f>D14/H14</f>
        <v>1</v>
      </c>
      <c r="AC14" s="712">
        <f>D14/J14</f>
        <v>1</v>
      </c>
    </row>
    <row r="15" spans="1:30" ht="99.75">
      <c r="A15" s="398" t="s">
        <v>2320</v>
      </c>
      <c r="B15" s="65" t="s">
        <v>1883</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20"/>
      <c r="M15" s="2914"/>
      <c r="N15" s="2914"/>
      <c r="O15" s="2972"/>
      <c r="P15" s="3360" t="s">
        <v>2321</v>
      </c>
      <c r="Q15" s="1505" t="str">
        <f t="shared" si="6"/>
        <v>居住社区成熟度</v>
      </c>
      <c r="R15" s="713" t="s">
        <v>17</v>
      </c>
      <c r="S15" s="714">
        <f t="shared" si="0"/>
        <v>100</v>
      </c>
      <c r="T15" s="713" t="s">
        <v>17</v>
      </c>
      <c r="U15" s="714">
        <f t="shared" si="1"/>
        <v>100</v>
      </c>
      <c r="V15" s="713" t="s">
        <v>17</v>
      </c>
      <c r="W15" s="714">
        <f t="shared" si="2"/>
        <v>100</v>
      </c>
      <c r="X15" s="1508"/>
      <c r="Y15" s="3360" t="s">
        <v>2321</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20"/>
      <c r="M16" s="2914"/>
      <c r="N16" s="2914"/>
      <c r="O16" s="2972"/>
      <c r="P16" s="3361"/>
      <c r="Q16" s="1505"/>
      <c r="R16" s="713"/>
      <c r="S16" s="714"/>
      <c r="T16" s="713"/>
      <c r="U16" s="714"/>
      <c r="V16" s="713"/>
      <c r="W16" s="714"/>
      <c r="X16" s="1508"/>
      <c r="Y16" s="3361"/>
      <c r="Z16" s="1509"/>
      <c r="AA16" s="1506">
        <v>1</v>
      </c>
      <c r="AB16" s="1506">
        <v>1</v>
      </c>
      <c r="AC16" s="1506">
        <v>1</v>
      </c>
    </row>
    <row r="17" spans="1:29" ht="71.25">
      <c r="A17" s="386"/>
      <c r="B17" s="409" t="s">
        <v>2414</v>
      </c>
      <c r="C17" s="2110"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20"/>
      <c r="M17" s="2914"/>
      <c r="N17" s="2914"/>
      <c r="O17" s="2972"/>
      <c r="P17" s="3361"/>
      <c r="Q17" s="1505" t="str">
        <f>B17</f>
        <v>商业繁华度</v>
      </c>
      <c r="R17" s="713" t="s">
        <v>17</v>
      </c>
      <c r="S17" s="714">
        <f>F17</f>
        <v>100</v>
      </c>
      <c r="T17" s="713" t="s">
        <v>17</v>
      </c>
      <c r="U17" s="714">
        <f>H17</f>
        <v>100</v>
      </c>
      <c r="V17" s="713" t="s">
        <v>17</v>
      </c>
      <c r="W17" s="714">
        <f>J17</f>
        <v>100</v>
      </c>
      <c r="X17" s="1508"/>
      <c r="Y17" s="3361"/>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20"/>
      <c r="M18" s="2914"/>
      <c r="N18" s="2914"/>
      <c r="O18" s="2972"/>
      <c r="P18" s="3361"/>
      <c r="Q18" s="1505"/>
      <c r="R18" s="713"/>
      <c r="S18" s="714"/>
      <c r="T18" s="713"/>
      <c r="U18" s="714"/>
      <c r="V18" s="713"/>
      <c r="W18" s="714"/>
      <c r="X18" s="1508"/>
      <c r="Y18" s="3361"/>
      <c r="Z18" s="1509"/>
      <c r="AA18" s="1506">
        <v>1</v>
      </c>
      <c r="AB18" s="1506">
        <v>1</v>
      </c>
      <c r="AC18" s="1506">
        <v>1</v>
      </c>
    </row>
    <row r="19" spans="1:29" ht="71.25">
      <c r="A19" s="386"/>
      <c r="B19" s="409" t="s">
        <v>2448</v>
      </c>
      <c r="C19" s="2110"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20"/>
      <c r="M19" s="2914"/>
      <c r="N19" s="2914"/>
      <c r="O19" s="2972"/>
      <c r="P19" s="3361"/>
      <c r="Q19" s="1505" t="str">
        <f>B19</f>
        <v>办公集聚程度</v>
      </c>
      <c r="R19" s="713" t="s">
        <v>17</v>
      </c>
      <c r="S19" s="714">
        <f>F19</f>
        <v>100</v>
      </c>
      <c r="T19" s="713" t="s">
        <v>17</v>
      </c>
      <c r="U19" s="714">
        <f>H19</f>
        <v>100</v>
      </c>
      <c r="V19" s="713" t="s">
        <v>17</v>
      </c>
      <c r="W19" s="714">
        <f>J19</f>
        <v>100</v>
      </c>
      <c r="X19" s="1508"/>
      <c r="Y19" s="3361"/>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20"/>
      <c r="M20" s="2914"/>
      <c r="N20" s="2914"/>
      <c r="O20" s="2972"/>
      <c r="P20" s="3361"/>
      <c r="Q20" s="1505"/>
      <c r="R20" s="713"/>
      <c r="S20" s="714"/>
      <c r="T20" s="713"/>
      <c r="U20" s="714"/>
      <c r="V20" s="713"/>
      <c r="W20" s="714"/>
      <c r="X20" s="1508"/>
      <c r="Y20" s="3361"/>
      <c r="Z20" s="1509"/>
      <c r="AA20" s="1506">
        <v>1</v>
      </c>
      <c r="AB20" s="1506">
        <v>1</v>
      </c>
      <c r="AC20" s="1506">
        <v>1</v>
      </c>
    </row>
    <row r="21" spans="1:29" ht="85.5">
      <c r="A21" s="386"/>
      <c r="B21" s="409" t="s">
        <v>2470</v>
      </c>
      <c r="C21" s="2055"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20"/>
      <c r="M21" s="2914"/>
      <c r="N21" s="2914"/>
      <c r="O21" s="2972"/>
      <c r="P21" s="3361"/>
      <c r="Q21" s="1505" t="str">
        <f>B21</f>
        <v>交通便捷度</v>
      </c>
      <c r="R21" s="713" t="s">
        <v>17</v>
      </c>
      <c r="S21" s="714">
        <f>F21</f>
        <v>100</v>
      </c>
      <c r="T21" s="713" t="s">
        <v>17</v>
      </c>
      <c r="U21" s="714">
        <f>H21</f>
        <v>100</v>
      </c>
      <c r="V21" s="713" t="s">
        <v>17</v>
      </c>
      <c r="W21" s="714">
        <f>J21</f>
        <v>100</v>
      </c>
      <c r="X21" s="1508"/>
      <c r="Y21" s="3361"/>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20"/>
      <c r="M22" s="2914"/>
      <c r="N22" s="2914"/>
      <c r="O22" s="2972"/>
      <c r="P22" s="3361"/>
      <c r="Q22" s="1505"/>
      <c r="R22" s="713"/>
      <c r="S22" s="714"/>
      <c r="T22" s="713"/>
      <c r="U22" s="714"/>
      <c r="V22" s="713"/>
      <c r="W22" s="714"/>
      <c r="X22" s="1508"/>
      <c r="Y22" s="3361"/>
      <c r="Z22" s="1509"/>
      <c r="AA22" s="1506">
        <v>1</v>
      </c>
      <c r="AB22" s="1506">
        <v>1</v>
      </c>
      <c r="AC22" s="1506">
        <v>1</v>
      </c>
    </row>
    <row r="23" spans="1:29" ht="15">
      <c r="A23" s="363"/>
      <c r="B23" s="409" t="s">
        <v>2508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20"/>
      <c r="M23" s="2914"/>
      <c r="N23" s="2914"/>
      <c r="O23" s="2972"/>
      <c r="P23" s="3361"/>
      <c r="Q23" s="1505" t="str">
        <f t="shared" ref="Q23:Q37" si="8">B23</f>
        <v>区域土地利用方向</v>
      </c>
      <c r="R23" s="713" t="s">
        <v>17</v>
      </c>
      <c r="S23" s="714">
        <f>F23</f>
        <v>100</v>
      </c>
      <c r="T23" s="713" t="s">
        <v>17</v>
      </c>
      <c r="U23" s="714">
        <f>H23</f>
        <v>100</v>
      </c>
      <c r="V23" s="713" t="s">
        <v>17</v>
      </c>
      <c r="W23" s="714">
        <f>J23</f>
        <v>100</v>
      </c>
      <c r="X23" s="1508"/>
      <c r="Y23" s="3361"/>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20"/>
      <c r="M24" s="2914"/>
      <c r="N24" s="2914"/>
      <c r="O24" s="2972"/>
      <c r="P24" s="3361"/>
      <c r="Q24" s="1505"/>
      <c r="R24" s="713"/>
      <c r="S24" s="714"/>
      <c r="T24" s="713"/>
      <c r="U24" s="714"/>
      <c r="V24" s="713"/>
      <c r="W24" s="714"/>
      <c r="X24" s="1508"/>
      <c r="Y24" s="3361"/>
      <c r="Z24" s="1509"/>
      <c r="AA24" s="1506"/>
      <c r="AB24" s="1506"/>
      <c r="AC24" s="1506"/>
    </row>
    <row r="25" spans="1:29" ht="57">
      <c r="A25" s="363"/>
      <c r="B25" s="1264" t="s">
        <v>2509</v>
      </c>
      <c r="C25" s="2110"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20"/>
      <c r="M25" s="2914"/>
      <c r="N25" s="2914"/>
      <c r="O25" s="2972"/>
      <c r="P25" s="3361"/>
      <c r="Q25" s="1505" t="str">
        <f t="shared" si="8"/>
        <v>自然及人文环境状况</v>
      </c>
      <c r="R25" s="713" t="s">
        <v>17</v>
      </c>
      <c r="S25" s="714">
        <f>F25</f>
        <v>100</v>
      </c>
      <c r="T25" s="713" t="s">
        <v>17</v>
      </c>
      <c r="U25" s="714">
        <f>H25</f>
        <v>100</v>
      </c>
      <c r="V25" s="713" t="s">
        <v>17</v>
      </c>
      <c r="W25" s="714">
        <f>J25</f>
        <v>100</v>
      </c>
      <c r="X25" s="1508"/>
      <c r="Y25" s="3361"/>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20"/>
      <c r="M26" s="2914"/>
      <c r="N26" s="2914"/>
      <c r="O26" s="2972"/>
      <c r="P26" s="3361"/>
      <c r="Q26" s="1505"/>
      <c r="R26" s="713"/>
      <c r="S26" s="714"/>
      <c r="T26" s="713"/>
      <c r="U26" s="714"/>
      <c r="V26" s="713"/>
      <c r="W26" s="714"/>
      <c r="X26" s="1508"/>
      <c r="Y26" s="3361"/>
      <c r="Z26" s="1509"/>
      <c r="AA26" s="1506">
        <v>1</v>
      </c>
      <c r="AB26" s="1506">
        <v>1</v>
      </c>
      <c r="AC26" s="1506">
        <v>1</v>
      </c>
    </row>
    <row r="27" spans="1:29" s="113" customFormat="1" ht="42.75">
      <c r="A27" s="604"/>
      <c r="B27" s="1264" t="s">
        <v>2415</v>
      </c>
      <c r="C27" s="2055"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5"/>
      <c r="M27" s="2916"/>
      <c r="N27" s="2916"/>
      <c r="O27" s="2970"/>
      <c r="P27" s="3361"/>
      <c r="Q27" s="1496" t="str">
        <f t="shared" si="8"/>
        <v>公共配套设施</v>
      </c>
      <c r="R27" s="709" t="s">
        <v>17</v>
      </c>
      <c r="S27" s="710">
        <f>F27</f>
        <v>100</v>
      </c>
      <c r="T27" s="709" t="s">
        <v>17</v>
      </c>
      <c r="U27" s="710">
        <f>H27</f>
        <v>100</v>
      </c>
      <c r="V27" s="709" t="s">
        <v>17</v>
      </c>
      <c r="W27" s="710">
        <f>J27</f>
        <v>100</v>
      </c>
      <c r="X27" s="711"/>
      <c r="Y27" s="3361"/>
      <c r="Z27" s="55" t="str">
        <f>Q27</f>
        <v>公共配套设施</v>
      </c>
      <c r="AA27" s="1506">
        <f>D27/F27</f>
        <v>1</v>
      </c>
      <c r="AB27" s="1506">
        <f>D27/H27</f>
        <v>1</v>
      </c>
      <c r="AC27" s="1506">
        <f>D27/J27</f>
        <v>1</v>
      </c>
    </row>
    <row r="28" spans="1:29" s="113" customFormat="1" ht="15">
      <c r="A28" s="604"/>
      <c r="B28" s="414"/>
      <c r="C28" s="2133"/>
      <c r="D28" s="406"/>
      <c r="E28" s="2059"/>
      <c r="F28" s="406"/>
      <c r="G28" s="2059"/>
      <c r="H28" s="406"/>
      <c r="I28" s="405"/>
      <c r="J28" s="406"/>
      <c r="K28" s="627"/>
      <c r="L28" s="2915"/>
      <c r="M28" s="2916"/>
      <c r="N28" s="2916"/>
      <c r="O28" s="2970"/>
      <c r="P28" s="3361"/>
      <c r="Q28" s="1496"/>
      <c r="R28" s="709"/>
      <c r="S28" s="710"/>
      <c r="T28" s="709"/>
      <c r="U28" s="710"/>
      <c r="V28" s="709"/>
      <c r="W28" s="710"/>
      <c r="X28" s="711"/>
      <c r="Y28" s="3361"/>
      <c r="Z28" s="55"/>
      <c r="AA28" s="1506">
        <v>1</v>
      </c>
      <c r="AB28" s="1506">
        <v>1</v>
      </c>
      <c r="AC28" s="1506">
        <v>1</v>
      </c>
    </row>
    <row r="29" spans="1:29" s="113" customFormat="1" ht="28.5">
      <c r="A29" s="604"/>
      <c r="B29" s="1264" t="s">
        <v>2416</v>
      </c>
      <c r="C29" s="2055"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5"/>
      <c r="M29" s="2916"/>
      <c r="N29" s="2916"/>
      <c r="O29" s="2970"/>
      <c r="P29" s="3361"/>
      <c r="Q29" s="1496" t="str">
        <f t="shared" ref="Q29" si="9">B29</f>
        <v>基础设施水平</v>
      </c>
      <c r="R29" s="709" t="s">
        <v>17</v>
      </c>
      <c r="S29" s="710">
        <f>F29</f>
        <v>100</v>
      </c>
      <c r="T29" s="709" t="s">
        <v>17</v>
      </c>
      <c r="U29" s="710">
        <f>H29</f>
        <v>100</v>
      </c>
      <c r="V29" s="709" t="s">
        <v>17</v>
      </c>
      <c r="W29" s="710">
        <f>J29</f>
        <v>100</v>
      </c>
      <c r="X29" s="711"/>
      <c r="Y29" s="3361"/>
      <c r="Z29" s="55" t="str">
        <f>Q29</f>
        <v>基础设施水平</v>
      </c>
      <c r="AA29" s="1506">
        <f>D29/F29</f>
        <v>1</v>
      </c>
      <c r="AB29" s="1506">
        <f>D29/H29</f>
        <v>1</v>
      </c>
      <c r="AC29" s="1506">
        <f>D29/J29</f>
        <v>1</v>
      </c>
    </row>
    <row r="30" spans="1:29" s="113" customFormat="1" ht="15">
      <c r="A30" s="604"/>
      <c r="B30" s="414"/>
      <c r="C30" s="2133"/>
      <c r="D30" s="406"/>
      <c r="E30" s="2134"/>
      <c r="F30" s="406"/>
      <c r="G30" s="2134"/>
      <c r="H30" s="406"/>
      <c r="I30" s="2134"/>
      <c r="J30" s="406"/>
      <c r="K30" s="627"/>
      <c r="L30" s="2915"/>
      <c r="M30" s="2916"/>
      <c r="N30" s="2916"/>
      <c r="O30" s="2970"/>
      <c r="P30" s="3361"/>
      <c r="Q30" s="1496"/>
      <c r="R30" s="709"/>
      <c r="S30" s="710"/>
      <c r="T30" s="709"/>
      <c r="U30" s="710"/>
      <c r="V30" s="709"/>
      <c r="W30" s="710"/>
      <c r="X30" s="711"/>
      <c r="Y30" s="3361"/>
      <c r="Z30" s="55"/>
      <c r="AA30" s="1506">
        <v>1</v>
      </c>
      <c r="AB30" s="1506">
        <v>1</v>
      </c>
      <c r="AC30" s="1506">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20"/>
      <c r="M31" s="2914"/>
      <c r="N31" s="2914"/>
      <c r="O31" s="2972"/>
      <c r="P31" s="3361"/>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361"/>
      <c r="Z31" s="1509" t="str">
        <f t="shared" ref="Z31:Z45" si="13">Q31</f>
        <v>临街状况</v>
      </c>
      <c r="AA31" s="1506">
        <f t="shared" si="3"/>
        <v>1</v>
      </c>
      <c r="AB31" s="1506">
        <f t="shared" si="4"/>
        <v>1</v>
      </c>
      <c r="AC31" s="1506">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20"/>
      <c r="M32" s="2914"/>
      <c r="N32" s="2914"/>
      <c r="O32" s="2972"/>
      <c r="P32" s="3361"/>
      <c r="Q32" s="1505" t="str">
        <f t="shared" si="8"/>
        <v>毗邻道路的类型与等级</v>
      </c>
      <c r="R32" s="713" t="s">
        <v>17</v>
      </c>
      <c r="S32" s="714">
        <f t="shared" si="10"/>
        <v>100</v>
      </c>
      <c r="T32" s="713" t="s">
        <v>17</v>
      </c>
      <c r="U32" s="714">
        <f t="shared" si="11"/>
        <v>100</v>
      </c>
      <c r="V32" s="713" t="s">
        <v>17</v>
      </c>
      <c r="W32" s="714">
        <f t="shared" si="12"/>
        <v>100</v>
      </c>
      <c r="X32" s="1508"/>
      <c r="Y32" s="3361"/>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20"/>
      <c r="M33" s="2914"/>
      <c r="N33" s="2914"/>
      <c r="O33" s="2972"/>
      <c r="P33" s="3361"/>
      <c r="Q33" s="1505"/>
      <c r="R33" s="713"/>
      <c r="S33" s="714"/>
      <c r="T33" s="713"/>
      <c r="U33" s="714"/>
      <c r="V33" s="713"/>
      <c r="W33" s="714"/>
      <c r="X33" s="1508"/>
      <c r="Y33" s="3361"/>
      <c r="Z33" s="1509"/>
      <c r="AA33" s="1506">
        <v>1</v>
      </c>
      <c r="AB33" s="1506">
        <v>1</v>
      </c>
      <c r="AC33" s="1506">
        <v>1</v>
      </c>
    </row>
    <row r="34" spans="1:29" ht="15">
      <c r="A34" s="386"/>
      <c r="B34" s="380" t="s">
        <v>2510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20"/>
      <c r="M34" s="2914"/>
      <c r="N34" s="2914"/>
      <c r="O34" s="2972"/>
      <c r="P34" s="3361"/>
      <c r="Q34" s="1505" t="str">
        <f t="shared" si="8"/>
        <v>土地级别</v>
      </c>
      <c r="R34" s="713" t="s">
        <v>17</v>
      </c>
      <c r="S34" s="714">
        <f t="shared" si="10"/>
        <v>100</v>
      </c>
      <c r="T34" s="713" t="s">
        <v>17</v>
      </c>
      <c r="U34" s="714">
        <f t="shared" si="11"/>
        <v>100</v>
      </c>
      <c r="V34" s="713" t="s">
        <v>17</v>
      </c>
      <c r="W34" s="714">
        <f t="shared" si="12"/>
        <v>100</v>
      </c>
      <c r="X34" s="1508"/>
      <c r="Y34" s="3361"/>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20"/>
      <c r="M35" s="2914"/>
      <c r="N35" s="2914"/>
      <c r="O35" s="2972"/>
      <c r="P35" s="3361"/>
      <c r="Q35" s="1505">
        <f t="shared" si="8"/>
        <v>111</v>
      </c>
      <c r="R35" s="713" t="s">
        <v>17</v>
      </c>
      <c r="S35" s="714">
        <f t="shared" si="10"/>
        <v>100</v>
      </c>
      <c r="T35" s="713" t="s">
        <v>17</v>
      </c>
      <c r="U35" s="714">
        <f t="shared" si="11"/>
        <v>100</v>
      </c>
      <c r="V35" s="713" t="s">
        <v>17</v>
      </c>
      <c r="W35" s="714">
        <f t="shared" si="12"/>
        <v>100</v>
      </c>
      <c r="X35" s="1508"/>
      <c r="Y35" s="3361"/>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20"/>
      <c r="M36" s="2914"/>
      <c r="N36" s="2914"/>
      <c r="O36" s="2972"/>
      <c r="P36" s="3362" t="s">
        <v>2326</v>
      </c>
      <c r="Q36" s="1505">
        <f t="shared" si="8"/>
        <v>111</v>
      </c>
      <c r="R36" s="713" t="s">
        <v>17</v>
      </c>
      <c r="S36" s="714">
        <f t="shared" si="10"/>
        <v>100</v>
      </c>
      <c r="T36" s="713" t="s">
        <v>17</v>
      </c>
      <c r="U36" s="714">
        <f t="shared" si="11"/>
        <v>100</v>
      </c>
      <c r="V36" s="713" t="s">
        <v>17</v>
      </c>
      <c r="W36" s="714">
        <f t="shared" si="12"/>
        <v>100</v>
      </c>
      <c r="X36" s="1508"/>
      <c r="Y36" s="3363" t="s">
        <v>2326</v>
      </c>
      <c r="Z36" s="1509">
        <f t="shared" si="13"/>
        <v>111</v>
      </c>
      <c r="AA36" s="1506">
        <f t="shared" si="3"/>
        <v>1</v>
      </c>
      <c r="AB36" s="1506">
        <f t="shared" si="4"/>
        <v>1</v>
      </c>
      <c r="AC36" s="1506">
        <f t="shared" si="5"/>
        <v>1</v>
      </c>
    </row>
    <row r="37" spans="1:29" s="429" customFormat="1" ht="15.75" thickBot="1">
      <c r="A37" s="631"/>
      <c r="B37" s="1268">
        <v>111</v>
      </c>
      <c r="C37" s="633"/>
      <c r="D37" s="133">
        <v>100</v>
      </c>
      <c r="E37" s="656"/>
      <c r="F37" s="396">
        <f>SUMIF(114:114,E37,115:115)-SUMIF(114:114,C37,115:115)+100</f>
        <v>100</v>
      </c>
      <c r="G37" s="656"/>
      <c r="H37" s="396">
        <f>SUMIF(114:114,G37,115:115)-SUMIF(114:114,C37,115:115)+100</f>
        <v>100</v>
      </c>
      <c r="I37" s="633"/>
      <c r="J37" s="396">
        <f>SUMIF(114:114,I37,115:115)-SUMIF(114:114,C37,115:115)+100</f>
        <v>100</v>
      </c>
      <c r="K37" s="569"/>
      <c r="L37" s="2919"/>
      <c r="M37" s="2921"/>
      <c r="N37" s="2921"/>
      <c r="O37" s="2973"/>
      <c r="P37" s="3363"/>
      <c r="Q37" s="1505">
        <f t="shared" si="8"/>
        <v>111</v>
      </c>
      <c r="R37" s="716" t="s">
        <v>17</v>
      </c>
      <c r="S37" s="717">
        <f t="shared" si="10"/>
        <v>100</v>
      </c>
      <c r="T37" s="716" t="s">
        <v>17</v>
      </c>
      <c r="U37" s="717">
        <f t="shared" si="11"/>
        <v>100</v>
      </c>
      <c r="V37" s="716" t="s">
        <v>17</v>
      </c>
      <c r="W37" s="717">
        <f t="shared" si="12"/>
        <v>100</v>
      </c>
      <c r="X37" s="718"/>
      <c r="Y37" s="3363"/>
      <c r="Z37" s="719">
        <f t="shared" si="13"/>
        <v>111</v>
      </c>
      <c r="AA37" s="1506">
        <f t="shared" si="3"/>
        <v>1</v>
      </c>
      <c r="AB37" s="1506">
        <f t="shared" si="4"/>
        <v>1</v>
      </c>
      <c r="AC37" s="1506">
        <f t="shared" si="5"/>
        <v>1</v>
      </c>
    </row>
    <row r="38" spans="1:29" ht="15">
      <c r="A38" s="430" t="s">
        <v>2324</v>
      </c>
      <c r="B38" s="414" t="s">
        <v>2511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20"/>
      <c r="M38" s="2914"/>
      <c r="N38" s="2914"/>
      <c r="O38" s="2972"/>
      <c r="P38" s="3363"/>
      <c r="Q38" s="1505" t="str">
        <f>B38</f>
        <v>宗地面积</v>
      </c>
      <c r="R38" s="713" t="s">
        <v>17</v>
      </c>
      <c r="S38" s="714" t="e">
        <f t="shared" si="10"/>
        <v>#N/A</v>
      </c>
      <c r="T38" s="713" t="s">
        <v>17</v>
      </c>
      <c r="U38" s="714" t="e">
        <f t="shared" si="11"/>
        <v>#N/A</v>
      </c>
      <c r="V38" s="713" t="s">
        <v>17</v>
      </c>
      <c r="W38" s="714" t="e">
        <f t="shared" si="12"/>
        <v>#N/A</v>
      </c>
      <c r="X38" s="1508"/>
      <c r="Y38" s="3363"/>
      <c r="Z38" s="1509" t="str">
        <f t="shared" si="13"/>
        <v>宗地面积</v>
      </c>
      <c r="AA38" s="1506" t="e">
        <f t="shared" si="3"/>
        <v>#N/A</v>
      </c>
      <c r="AB38" s="1506" t="e">
        <f t="shared" si="4"/>
        <v>#N/A</v>
      </c>
      <c r="AC38" s="1506" t="e">
        <f t="shared" si="5"/>
        <v>#N/A</v>
      </c>
    </row>
    <row r="39" spans="1:29" ht="15">
      <c r="A39" s="430"/>
      <c r="B39" s="380" t="s">
        <v>2512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20"/>
      <c r="M39" s="2914"/>
      <c r="N39" s="2914"/>
      <c r="O39" s="2972"/>
      <c r="P39" s="3363"/>
      <c r="Q39" s="1505" t="str">
        <f t="shared" ref="Q39:Q45" si="14">B39</f>
        <v>宗地形状</v>
      </c>
      <c r="R39" s="713" t="s">
        <v>17</v>
      </c>
      <c r="S39" s="714">
        <f t="shared" si="10"/>
        <v>100</v>
      </c>
      <c r="T39" s="713" t="s">
        <v>17</v>
      </c>
      <c r="U39" s="714">
        <f t="shared" si="11"/>
        <v>100</v>
      </c>
      <c r="V39" s="713" t="s">
        <v>17</v>
      </c>
      <c r="W39" s="714">
        <f t="shared" si="12"/>
        <v>100</v>
      </c>
      <c r="X39" s="1508"/>
      <c r="Y39" s="3363"/>
      <c r="Z39" s="1509" t="str">
        <f t="shared" si="13"/>
        <v>宗地形状</v>
      </c>
      <c r="AA39" s="1506">
        <f t="shared" si="3"/>
        <v>1</v>
      </c>
      <c r="AB39" s="1506">
        <f t="shared" si="4"/>
        <v>1</v>
      </c>
      <c r="AC39" s="1506">
        <f t="shared" si="5"/>
        <v>1</v>
      </c>
    </row>
    <row r="40" spans="1:29" ht="15">
      <c r="A40" s="430"/>
      <c r="B40" s="380" t="s">
        <v>2513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20"/>
      <c r="M40" s="2914"/>
      <c r="N40" s="2914"/>
      <c r="O40" s="2972"/>
      <c r="P40" s="3363"/>
      <c r="Q40" s="1505" t="str">
        <f t="shared" si="14"/>
        <v>临街宽度及深度</v>
      </c>
      <c r="R40" s="713" t="s">
        <v>17</v>
      </c>
      <c r="S40" s="714">
        <f t="shared" si="10"/>
        <v>100</v>
      </c>
      <c r="T40" s="713" t="s">
        <v>17</v>
      </c>
      <c r="U40" s="714">
        <f t="shared" si="11"/>
        <v>100</v>
      </c>
      <c r="V40" s="713" t="s">
        <v>17</v>
      </c>
      <c r="W40" s="714">
        <f t="shared" si="12"/>
        <v>100</v>
      </c>
      <c r="X40" s="1508"/>
      <c r="Y40" s="3363"/>
      <c r="Z40" s="1509" t="str">
        <f t="shared" si="13"/>
        <v>临街宽度及深度</v>
      </c>
      <c r="AA40" s="1506">
        <f t="shared" si="3"/>
        <v>1</v>
      </c>
      <c r="AB40" s="1506">
        <f t="shared" si="4"/>
        <v>1</v>
      </c>
      <c r="AC40" s="1506">
        <f t="shared" si="5"/>
        <v>1</v>
      </c>
    </row>
    <row r="41" spans="1:29" s="113" customFormat="1" ht="15">
      <c r="A41" s="431"/>
      <c r="B41" s="380" t="s">
        <v>2514</v>
      </c>
      <c r="C41" s="2135"/>
      <c r="D41" s="132">
        <v>100</v>
      </c>
      <c r="E41" s="2135"/>
      <c r="F41" s="393">
        <f>SUMIF(123:123,E41,124:124)-SUMIF(123:123,C41,124:124)+100</f>
        <v>100</v>
      </c>
      <c r="G41" s="2135"/>
      <c r="H41" s="393">
        <f>SUMIF(123:123,G41,124:124)-SUMIF(123:123,C41,124:124)+100</f>
        <v>100</v>
      </c>
      <c r="I41" s="2135"/>
      <c r="J41" s="393">
        <f>SUMIF(123:123,I41,124:124)-SUMIF(123:123,C41,124:124)+100</f>
        <v>100</v>
      </c>
      <c r="K41" s="568"/>
      <c r="L41" s="2915"/>
      <c r="M41" s="2916"/>
      <c r="N41" s="2916"/>
      <c r="O41" s="2970"/>
      <c r="P41" s="3363"/>
      <c r="Q41" s="1505" t="str">
        <f t="shared" si="14"/>
        <v>宗地开发程度</v>
      </c>
      <c r="R41" s="709" t="s">
        <v>17</v>
      </c>
      <c r="S41" s="710">
        <f t="shared" si="10"/>
        <v>100</v>
      </c>
      <c r="T41" s="709" t="s">
        <v>17</v>
      </c>
      <c r="U41" s="710">
        <f t="shared" si="11"/>
        <v>100</v>
      </c>
      <c r="V41" s="709" t="s">
        <v>17</v>
      </c>
      <c r="W41" s="710">
        <f t="shared" si="12"/>
        <v>100</v>
      </c>
      <c r="X41" s="711"/>
      <c r="Y41" s="3363"/>
      <c r="Z41" s="55" t="str">
        <f t="shared" si="13"/>
        <v>宗地开发程度</v>
      </c>
      <c r="AA41" s="712">
        <f t="shared" si="3"/>
        <v>1</v>
      </c>
      <c r="AB41" s="712">
        <f t="shared" si="4"/>
        <v>1</v>
      </c>
      <c r="AC41" s="712">
        <f t="shared" si="5"/>
        <v>1</v>
      </c>
    </row>
    <row r="42" spans="1:29" ht="15">
      <c r="A42" s="430"/>
      <c r="B42" s="380" t="s">
        <v>2515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20"/>
      <c r="M42" s="2914"/>
      <c r="N42" s="2914"/>
      <c r="O42" s="2972"/>
      <c r="P42" s="3363" t="s">
        <v>2326</v>
      </c>
      <c r="Q42" s="1505" t="str">
        <f t="shared" si="14"/>
        <v>工程地质条件</v>
      </c>
      <c r="R42" s="713" t="s">
        <v>17</v>
      </c>
      <c r="S42" s="714">
        <f t="shared" si="10"/>
        <v>100</v>
      </c>
      <c r="T42" s="713" t="s">
        <v>17</v>
      </c>
      <c r="U42" s="714">
        <f t="shared" si="11"/>
        <v>100</v>
      </c>
      <c r="V42" s="713" t="s">
        <v>17</v>
      </c>
      <c r="W42" s="714">
        <f t="shared" si="12"/>
        <v>100</v>
      </c>
      <c r="X42" s="1508"/>
      <c r="Y42" s="3363" t="s">
        <v>2326</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20"/>
      <c r="M43" s="2914"/>
      <c r="N43" s="2914"/>
      <c r="O43" s="2972"/>
      <c r="P43" s="3363"/>
      <c r="Q43" s="1505">
        <f t="shared" si="14"/>
        <v>111</v>
      </c>
      <c r="R43" s="713" t="s">
        <v>17</v>
      </c>
      <c r="S43" s="714">
        <f t="shared" si="10"/>
        <v>100</v>
      </c>
      <c r="T43" s="713" t="s">
        <v>17</v>
      </c>
      <c r="U43" s="714">
        <f t="shared" si="11"/>
        <v>100</v>
      </c>
      <c r="V43" s="713" t="s">
        <v>17</v>
      </c>
      <c r="W43" s="714">
        <f t="shared" si="12"/>
        <v>100</v>
      </c>
      <c r="X43" s="1508"/>
      <c r="Y43" s="3363"/>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20"/>
      <c r="M44" s="2914"/>
      <c r="N44" s="2914"/>
      <c r="O44" s="2972"/>
      <c r="P44" s="3363"/>
      <c r="Q44" s="1505">
        <f t="shared" si="14"/>
        <v>111</v>
      </c>
      <c r="R44" s="713" t="s">
        <v>17</v>
      </c>
      <c r="S44" s="714">
        <f t="shared" si="10"/>
        <v>100</v>
      </c>
      <c r="T44" s="713" t="s">
        <v>17</v>
      </c>
      <c r="U44" s="714">
        <f t="shared" si="11"/>
        <v>100</v>
      </c>
      <c r="V44" s="713" t="s">
        <v>17</v>
      </c>
      <c r="W44" s="714">
        <f t="shared" si="12"/>
        <v>100</v>
      </c>
      <c r="X44" s="1508"/>
      <c r="Y44" s="3363"/>
      <c r="Z44" s="1509">
        <f t="shared" si="13"/>
        <v>111</v>
      </c>
      <c r="AA44" s="1506">
        <f t="shared" si="3"/>
        <v>1</v>
      </c>
      <c r="AB44" s="1506">
        <f t="shared" si="4"/>
        <v>1</v>
      </c>
      <c r="AC44" s="1506">
        <f t="shared" si="5"/>
        <v>1</v>
      </c>
    </row>
    <row r="45" spans="1:29" s="429" customFormat="1" ht="15.75" thickBot="1">
      <c r="A45" s="426"/>
      <c r="B45" s="1267">
        <v>111</v>
      </c>
      <c r="C45" s="2136"/>
      <c r="D45" s="635">
        <v>100</v>
      </c>
      <c r="E45" s="629"/>
      <c r="F45" s="396">
        <f>SUMIF(131:131,E45,132:132)-SUMIF(131:131,C45,132:132)+100</f>
        <v>100</v>
      </c>
      <c r="G45" s="629"/>
      <c r="H45" s="396">
        <f>SUMIF(131:131,G45,132:132)-SUMIF(131:131,C45,132:132)+100</f>
        <v>100</v>
      </c>
      <c r="I45" s="629"/>
      <c r="J45" s="396">
        <f>SUMIF(131:131,I45,132:132)-SUMIF(131:131,C45,132:132)+100</f>
        <v>100</v>
      </c>
      <c r="K45" s="636"/>
      <c r="L45" s="2919"/>
      <c r="M45" s="2921"/>
      <c r="N45" s="2921"/>
      <c r="O45" s="2973"/>
      <c r="P45" s="3363"/>
      <c r="Q45" s="1505">
        <f t="shared" si="14"/>
        <v>111</v>
      </c>
      <c r="R45" s="716" t="s">
        <v>17</v>
      </c>
      <c r="S45" s="717">
        <f t="shared" si="10"/>
        <v>100</v>
      </c>
      <c r="T45" s="716" t="s">
        <v>17</v>
      </c>
      <c r="U45" s="717">
        <f t="shared" si="11"/>
        <v>100</v>
      </c>
      <c r="V45" s="716" t="s">
        <v>17</v>
      </c>
      <c r="W45" s="717">
        <f t="shared" si="12"/>
        <v>100</v>
      </c>
      <c r="X45" s="718"/>
      <c r="Y45" s="3363"/>
      <c r="Z45" s="719">
        <f t="shared" si="13"/>
        <v>111</v>
      </c>
      <c r="AA45" s="1506">
        <f t="shared" si="3"/>
        <v>1</v>
      </c>
      <c r="AB45" s="1506">
        <f t="shared" si="4"/>
        <v>1</v>
      </c>
      <c r="AC45" s="1506">
        <f t="shared" si="5"/>
        <v>1</v>
      </c>
    </row>
    <row r="46" spans="1:29" ht="15">
      <c r="A46" s="437" t="s">
        <v>2481</v>
      </c>
      <c r="B46" s="2137" t="s">
        <v>2516</v>
      </c>
      <c r="C46" s="637" t="s">
        <v>1</v>
      </c>
      <c r="D46" s="439"/>
      <c r="E46" s="440"/>
      <c r="F46" s="441"/>
      <c r="G46" s="442"/>
      <c r="H46" s="443"/>
      <c r="I46" s="440"/>
      <c r="J46" s="443"/>
      <c r="K46" s="722"/>
      <c r="L46" s="2922"/>
      <c r="M46" s="2923"/>
      <c r="N46" s="2914"/>
      <c r="O46" s="2923"/>
      <c r="P46" s="3355" t="str">
        <f>A46</f>
        <v>成交单价</v>
      </c>
      <c r="Q46" s="3355"/>
      <c r="R46" s="3384">
        <f>E46</f>
        <v>0</v>
      </c>
      <c r="S46" s="3384"/>
      <c r="T46" s="3384">
        <f>G46</f>
        <v>0</v>
      </c>
      <c r="U46" s="3384"/>
      <c r="V46" s="3384">
        <f>I46</f>
        <v>0</v>
      </c>
      <c r="W46" s="3384"/>
      <c r="X46" s="698"/>
      <c r="Y46" s="720"/>
      <c r="Z46" s="698"/>
      <c r="AA46" s="698"/>
      <c r="AB46" s="698"/>
      <c r="AC46" s="698"/>
    </row>
    <row r="47" spans="1:29" ht="15.75" thickBot="1">
      <c r="A47" s="444" t="s">
        <v>2430</v>
      </c>
      <c r="B47" s="638"/>
      <c r="C47" s="447" t="e">
        <f>R48</f>
        <v>#DIV/0!</v>
      </c>
      <c r="D47" s="2507" t="s">
        <v>2818</v>
      </c>
      <c r="E47" s="447" t="e">
        <f>R47</f>
        <v>#DIV/0!</v>
      </c>
      <c r="F47" s="2508"/>
      <c r="G47" s="446" t="e">
        <f>T47</f>
        <v>#DIV/0!</v>
      </c>
      <c r="H47" s="2508"/>
      <c r="I47" s="447" t="e">
        <f>V47</f>
        <v>#DIV/0!</v>
      </c>
      <c r="J47" s="2508"/>
      <c r="K47" s="2510">
        <f>F47+H47+J47</f>
        <v>0</v>
      </c>
      <c r="L47" s="2922"/>
      <c r="M47" s="2923"/>
      <c r="N47" s="2923"/>
      <c r="O47" s="2923"/>
      <c r="P47" s="3355" t="str">
        <f>A47</f>
        <v>比较价值（元/平方米）</v>
      </c>
      <c r="Q47" s="3355"/>
      <c r="R47" s="3547" t="e">
        <f>ROUND(PRODUCT(R46,AA7:AA45),0)</f>
        <v>#DIV/0!</v>
      </c>
      <c r="S47" s="3547"/>
      <c r="T47" s="3547" t="e">
        <f>ROUND(PRODUCT(T46,AB7:AB45),0)</f>
        <v>#DIV/0!</v>
      </c>
      <c r="U47" s="3547"/>
      <c r="V47" s="3547" t="e">
        <f>ROUND(PRODUCT(V46,AC7:AC45),0)</f>
        <v>#DIV/0!</v>
      </c>
      <c r="W47" s="3547"/>
      <c r="X47" s="698"/>
      <c r="Y47" s="698"/>
      <c r="Z47" s="698"/>
      <c r="AA47" s="698"/>
      <c r="AB47" s="698"/>
      <c r="AC47" s="698"/>
    </row>
    <row r="48" spans="1:29" ht="15.75" thickBot="1">
      <c r="A48" s="448" t="s">
        <v>2517</v>
      </c>
      <c r="B48" s="449"/>
      <c r="C48" s="450" t="e">
        <f>R48</f>
        <v>#DIV/0!</v>
      </c>
      <c r="D48" s="450"/>
      <c r="E48" s="450"/>
      <c r="F48" s="450"/>
      <c r="G48" s="450"/>
      <c r="H48" s="450"/>
      <c r="I48" s="450"/>
      <c r="J48" s="450"/>
      <c r="K48" s="723"/>
      <c r="L48" s="2922"/>
      <c r="M48" s="2923"/>
      <c r="N48" s="2923"/>
      <c r="O48" s="2923"/>
      <c r="P48" s="3357" t="str">
        <f>A48</f>
        <v>估价对象XX用房的比较价值（楼面单价，元/平方米）</v>
      </c>
      <c r="Q48" s="3358"/>
      <c r="R48" s="3548" t="e">
        <f>ROUND(IF(D47="简单平均",AVERAGE(R47:W47),R47*F47+T47*H47+V47*J47),0)</f>
        <v>#DIV/0!</v>
      </c>
      <c r="S48" s="3548"/>
      <c r="T48" s="3548"/>
      <c r="U48" s="3548"/>
      <c r="V48" s="3548"/>
      <c r="W48" s="3548"/>
      <c r="X48" s="698"/>
      <c r="Y48" s="698"/>
      <c r="Z48" s="698"/>
      <c r="AA48" s="698"/>
      <c r="AB48" s="698"/>
      <c r="AC48" s="698"/>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8" customFormat="1" ht="13.5" customHeight="1">
      <c r="A53" s="2926"/>
      <c r="B53" s="2926"/>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8" customFormat="1" ht="15" thickBot="1">
      <c r="A54" s="2926"/>
      <c r="B54" s="2929"/>
      <c r="C54" s="701"/>
      <c r="D54" s="699"/>
      <c r="E54" s="699"/>
      <c r="F54" s="699"/>
      <c r="G54" s="699"/>
      <c r="H54" s="699"/>
      <c r="I54" s="699"/>
      <c r="J54" s="699"/>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39" t="s">
        <v>2518</v>
      </c>
      <c r="B55" s="640" t="s">
        <v>2519</v>
      </c>
      <c r="C55" s="2138" t="s">
        <v>2520</v>
      </c>
      <c r="D55" s="2139" t="s">
        <v>2521</v>
      </c>
      <c r="E55" s="641" t="s">
        <v>2522</v>
      </c>
      <c r="F55" s="1020" t="s">
        <v>2523</v>
      </c>
      <c r="G55" s="3368" t="s">
        <v>2524</v>
      </c>
      <c r="H55" s="3549"/>
      <c r="I55" s="140" t="s">
        <v>2525</v>
      </c>
      <c r="J55" s="2140">
        <f>项目基本情况!F35</f>
        <v>0</v>
      </c>
      <c r="K55" s="2141" t="s">
        <v>2526</v>
      </c>
      <c r="L55" s="2924"/>
      <c r="M55" s="2923"/>
      <c r="N55" s="2923"/>
      <c r="O55" s="2923"/>
      <c r="P55" s="2923"/>
      <c r="Q55" s="2923"/>
      <c r="R55" s="2923"/>
      <c r="S55" s="2923"/>
      <c r="T55" s="2923"/>
      <c r="U55" s="2923"/>
      <c r="V55" s="2923"/>
      <c r="W55" s="2923"/>
      <c r="X55" s="2923"/>
      <c r="Y55" s="2923"/>
      <c r="Z55" s="2923"/>
      <c r="AA55" s="2923"/>
      <c r="AB55" s="2923"/>
      <c r="AC55" s="2923"/>
    </row>
    <row r="56" spans="1:29" s="647" customFormat="1">
      <c r="A56" s="643" t="s">
        <v>2527</v>
      </c>
      <c r="B56" s="644" t="e">
        <f>C48</f>
        <v>#DIV/0!</v>
      </c>
      <c r="C56" s="645">
        <v>1</v>
      </c>
      <c r="D56" s="1074">
        <v>1</v>
      </c>
      <c r="E56" s="645">
        <f>'数据-汇总表'!E8+'数据-汇总表'!E9</f>
        <v>0</v>
      </c>
      <c r="F56" s="1016" t="e">
        <f t="shared" ref="F56:F65" si="15">ROUND(B56*E56/10000,0)</f>
        <v>#DIV/0!</v>
      </c>
      <c r="G56" s="3531"/>
      <c r="H56" s="3355"/>
      <c r="I56" s="1021">
        <v>1</v>
      </c>
      <c r="J56" s="1024">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7" customFormat="1">
      <c r="A57" s="648" t="s">
        <v>2528</v>
      </c>
      <c r="B57" s="223" t="e">
        <f>ROUND($C$48*C57*D57,0)</f>
        <v>#DIV/0!</v>
      </c>
      <c r="C57" s="175">
        <f t="shared" ref="C57:C65" si="16">IF($C$55="北京市系数",I57,J57)</f>
        <v>0.7</v>
      </c>
      <c r="D57" s="1075">
        <v>0.25</v>
      </c>
      <c r="E57" s="649"/>
      <c r="F57" s="1016" t="e">
        <f t="shared" si="15"/>
        <v>#DIV/0!</v>
      </c>
      <c r="G57" s="3550" t="s">
        <v>2529</v>
      </c>
      <c r="H57" s="1017" t="str">
        <f>项目基本情况!B37</f>
        <v>七级</v>
      </c>
      <c r="I57" s="1021">
        <f>SUMIF(修正!A45:A56,H57,修正!B45:B56)</f>
        <v>0.7</v>
      </c>
      <c r="J57" s="1025"/>
      <c r="K57" s="2923"/>
      <c r="L57" s="2980"/>
      <c r="M57" s="2980"/>
      <c r="N57" s="2980"/>
      <c r="O57" s="2980"/>
      <c r="P57" s="2980"/>
      <c r="Q57" s="2980"/>
      <c r="R57" s="2980"/>
      <c r="S57" s="2980"/>
      <c r="T57" s="2980"/>
      <c r="U57" s="2980"/>
      <c r="V57" s="2980"/>
      <c r="W57" s="2980"/>
      <c r="X57" s="2980"/>
      <c r="Y57" s="2980"/>
      <c r="Z57" s="2980"/>
      <c r="AA57" s="2980"/>
      <c r="AB57" s="2980"/>
      <c r="AC57" s="2980"/>
    </row>
    <row r="58" spans="1:29" s="647" customFormat="1">
      <c r="A58" s="648" t="s">
        <v>2530</v>
      </c>
      <c r="B58" s="223" t="e">
        <f t="shared" ref="B58:B65" si="17">ROUND($C$48*C58*D58,0)</f>
        <v>#DIV/0!</v>
      </c>
      <c r="C58" s="175">
        <f t="shared" si="16"/>
        <v>0.4</v>
      </c>
      <c r="D58" s="1075">
        <v>0.25</v>
      </c>
      <c r="E58" s="649"/>
      <c r="F58" s="1016" t="e">
        <f t="shared" si="15"/>
        <v>#DIV/0!</v>
      </c>
      <c r="G58" s="3550"/>
      <c r="H58" s="1017" t="str">
        <f>项目基本情况!B37</f>
        <v>七级</v>
      </c>
      <c r="I58" s="1021">
        <f>SUMIF(修正!A45:A56,H58,修正!C45:C56)</f>
        <v>0.4</v>
      </c>
      <c r="J58" s="1025"/>
      <c r="K58" s="2926"/>
      <c r="L58" s="2980"/>
      <c r="M58" s="2980"/>
      <c r="N58" s="2980"/>
      <c r="O58" s="2980"/>
      <c r="P58" s="2980"/>
      <c r="Q58" s="2980"/>
      <c r="R58" s="2980"/>
      <c r="S58" s="2980"/>
      <c r="T58" s="2980"/>
      <c r="U58" s="2980"/>
      <c r="V58" s="2980"/>
      <c r="W58" s="2980"/>
      <c r="X58" s="2980"/>
      <c r="Y58" s="2980"/>
      <c r="Z58" s="2980"/>
      <c r="AA58" s="2980"/>
      <c r="AB58" s="2980"/>
      <c r="AC58" s="2980"/>
    </row>
    <row r="59" spans="1:29" s="647" customFormat="1">
      <c r="A59" s="648" t="s">
        <v>2531</v>
      </c>
      <c r="B59" s="223" t="e">
        <f t="shared" si="17"/>
        <v>#DIV/0!</v>
      </c>
      <c r="C59" s="175">
        <f t="shared" si="16"/>
        <v>0.28000000000000003</v>
      </c>
      <c r="D59" s="1075">
        <v>0.25</v>
      </c>
      <c r="E59" s="649"/>
      <c r="F59" s="1016" t="e">
        <f t="shared" si="15"/>
        <v>#DIV/0!</v>
      </c>
      <c r="G59" s="3550"/>
      <c r="H59" s="1017" t="str">
        <f>项目基本情况!B37</f>
        <v>七级</v>
      </c>
      <c r="I59" s="1021">
        <f>SUMIF(修正!A45:A56,H59,修正!D45:D56)</f>
        <v>0.28000000000000003</v>
      </c>
      <c r="J59" s="1025"/>
      <c r="K59" s="2923"/>
      <c r="L59" s="2980"/>
      <c r="M59" s="2980"/>
      <c r="N59" s="2980"/>
      <c r="O59" s="2980"/>
      <c r="P59" s="2980"/>
      <c r="Q59" s="2980"/>
      <c r="R59" s="2980"/>
      <c r="S59" s="2980"/>
      <c r="T59" s="2980"/>
      <c r="U59" s="2980"/>
      <c r="V59" s="2980"/>
      <c r="W59" s="2980"/>
      <c r="X59" s="2980"/>
      <c r="Y59" s="2980"/>
      <c r="Z59" s="2980"/>
      <c r="AA59" s="2980"/>
      <c r="AB59" s="2980"/>
      <c r="AC59" s="2980"/>
    </row>
    <row r="60" spans="1:29" s="647" customFormat="1">
      <c r="A60" s="648" t="s">
        <v>2532</v>
      </c>
      <c r="B60" s="223" t="e">
        <f t="shared" si="17"/>
        <v>#DIV/0!</v>
      </c>
      <c r="C60" s="175">
        <f t="shared" si="16"/>
        <v>0.25</v>
      </c>
      <c r="D60" s="1075">
        <v>0.25</v>
      </c>
      <c r="E60" s="649"/>
      <c r="F60" s="1016" t="e">
        <f t="shared" si="15"/>
        <v>#DIV/0!</v>
      </c>
      <c r="G60" s="3550"/>
      <c r="H60" s="1017" t="str">
        <f>项目基本情况!B37</f>
        <v>七级</v>
      </c>
      <c r="I60" s="1021">
        <f>SUMIF(修正!A45:A56,H60,修正!E45:E56)</f>
        <v>0.25</v>
      </c>
      <c r="J60" s="1025"/>
      <c r="K60" s="2926"/>
      <c r="L60" s="2980"/>
      <c r="M60" s="2980"/>
      <c r="N60" s="2980"/>
      <c r="O60" s="2980"/>
      <c r="P60" s="2980"/>
      <c r="Q60" s="2980"/>
      <c r="R60" s="2980"/>
      <c r="S60" s="2980"/>
      <c r="T60" s="2980"/>
      <c r="U60" s="2980"/>
      <c r="V60" s="2980"/>
      <c r="W60" s="2980"/>
      <c r="X60" s="2980"/>
      <c r="Y60" s="2980"/>
      <c r="Z60" s="2980"/>
      <c r="AA60" s="2980"/>
      <c r="AB60" s="2980"/>
      <c r="AC60" s="2980"/>
    </row>
    <row r="61" spans="1:29" s="647" customFormat="1">
      <c r="A61" s="648" t="s">
        <v>2533</v>
      </c>
      <c r="B61" s="223" t="e">
        <f t="shared" si="17"/>
        <v>#DIV/0!</v>
      </c>
      <c r="C61" s="175">
        <f t="shared" si="16"/>
        <v>0.25</v>
      </c>
      <c r="D61" s="1075">
        <v>0.25</v>
      </c>
      <c r="E61" s="222">
        <f>'数据-汇总表'!E11</f>
        <v>0</v>
      </c>
      <c r="F61" s="1016" t="e">
        <f t="shared" si="15"/>
        <v>#DIV/0!</v>
      </c>
      <c r="G61" s="2142" t="s">
        <v>2534</v>
      </c>
      <c r="H61" s="1017" t="str">
        <f>项目基本情况!C37</f>
        <v>七级</v>
      </c>
      <c r="I61" s="1021">
        <f>SUMIF(修正!A45:A56,H61,修正!F45:F56)</f>
        <v>0.25</v>
      </c>
      <c r="J61" s="1025"/>
      <c r="K61" s="2923"/>
      <c r="L61" s="2980"/>
      <c r="M61" s="2980"/>
      <c r="N61" s="2980"/>
      <c r="O61" s="2980"/>
      <c r="P61" s="2980"/>
      <c r="Q61" s="2980"/>
      <c r="R61" s="2980"/>
      <c r="S61" s="2980"/>
      <c r="T61" s="2980"/>
      <c r="U61" s="2980"/>
      <c r="V61" s="2980"/>
      <c r="W61" s="2980"/>
      <c r="X61" s="2980"/>
      <c r="Y61" s="2980"/>
      <c r="Z61" s="2980"/>
      <c r="AA61" s="2980"/>
      <c r="AB61" s="2980"/>
      <c r="AC61" s="2980"/>
    </row>
    <row r="62" spans="1:29" s="647" customFormat="1">
      <c r="A62" s="648" t="s">
        <v>2535</v>
      </c>
      <c r="B62" s="223" t="e">
        <f t="shared" si="17"/>
        <v>#DIV/0!</v>
      </c>
      <c r="C62" s="175">
        <f t="shared" si="16"/>
        <v>0.25</v>
      </c>
      <c r="D62" s="1075">
        <v>0.25</v>
      </c>
      <c r="E62" s="222">
        <f>'数据-汇总表'!E12</f>
        <v>9034.9699999999993</v>
      </c>
      <c r="F62" s="1016" t="e">
        <f t="shared" si="15"/>
        <v>#DIV/0!</v>
      </c>
      <c r="G62" s="1022" t="s">
        <v>2536</v>
      </c>
      <c r="H62" s="1017" t="str">
        <f>IF(G62="商业",项目基本情况!B37,IF(G62="办公",项目基本情况!C37,IF(G62="住宅",项目基本情况!D37,项目基本情况!E37)))</f>
        <v>七级</v>
      </c>
      <c r="I62" s="1021">
        <f>SUMIF(修正!A45:A56,H62,修正!G45:G56)</f>
        <v>0.25</v>
      </c>
      <c r="J62" s="1025"/>
      <c r="K62" s="2926"/>
      <c r="L62" s="2980"/>
      <c r="M62" s="2980"/>
      <c r="N62" s="2980"/>
      <c r="O62" s="2980"/>
      <c r="P62" s="2980"/>
      <c r="Q62" s="2980"/>
      <c r="R62" s="2980"/>
      <c r="S62" s="2980"/>
      <c r="T62" s="2980"/>
      <c r="U62" s="2980"/>
      <c r="V62" s="2980"/>
      <c r="W62" s="2980"/>
      <c r="X62" s="2980"/>
      <c r="Y62" s="2980"/>
      <c r="Z62" s="2980"/>
      <c r="AA62" s="2980"/>
      <c r="AB62" s="2980"/>
      <c r="AC62" s="2980"/>
    </row>
    <row r="63" spans="1:29" s="647" customFormat="1">
      <c r="A63" s="648" t="s">
        <v>2537</v>
      </c>
      <c r="B63" s="223" t="e">
        <f t="shared" si="17"/>
        <v>#DIV/0!</v>
      </c>
      <c r="C63" s="175">
        <f t="shared" si="16"/>
        <v>0.2</v>
      </c>
      <c r="D63" s="1075">
        <v>0.25</v>
      </c>
      <c r="E63" s="222">
        <f>'数据-汇总表'!E13</f>
        <v>11780.21</v>
      </c>
      <c r="F63" s="1016" t="e">
        <f t="shared" si="15"/>
        <v>#DIV/0!</v>
      </c>
      <c r="G63" s="1022" t="s">
        <v>2538</v>
      </c>
      <c r="H63" s="1017" t="str">
        <f>IF(G63="商业",项目基本情况!B37,IF(G63="办公",项目基本情况!C37,IF(G63="住宅",项目基本情况!D37,项目基本情况!E37)))</f>
        <v>七级</v>
      </c>
      <c r="I63" s="1021">
        <f>SUMIF(修正!A45:A56,H63,修正!H45:H56)</f>
        <v>0.2</v>
      </c>
      <c r="J63" s="1025"/>
      <c r="K63" s="2923"/>
      <c r="L63" s="2980"/>
      <c r="M63" s="2980"/>
      <c r="N63" s="2980"/>
      <c r="O63" s="2980"/>
      <c r="P63" s="2980"/>
      <c r="Q63" s="2980"/>
      <c r="R63" s="2980"/>
      <c r="S63" s="2980"/>
      <c r="T63" s="2980"/>
      <c r="U63" s="2980"/>
      <c r="V63" s="2980"/>
      <c r="W63" s="2980"/>
      <c r="X63" s="2980"/>
      <c r="Y63" s="2980"/>
      <c r="Z63" s="2980"/>
      <c r="AA63" s="2980"/>
      <c r="AB63" s="2980"/>
      <c r="AC63" s="2980"/>
    </row>
    <row r="64" spans="1:29" s="647" customFormat="1">
      <c r="A64" s="648" t="s">
        <v>2539</v>
      </c>
      <c r="B64" s="223" t="e">
        <f t="shared" si="17"/>
        <v>#DIV/0!</v>
      </c>
      <c r="C64" s="175">
        <f t="shared" si="16"/>
        <v>0.2</v>
      </c>
      <c r="D64" s="1075">
        <v>0.25</v>
      </c>
      <c r="E64" s="222">
        <f>'数据-汇总表'!E14</f>
        <v>0</v>
      </c>
      <c r="F64" s="1016" t="e">
        <f t="shared" si="15"/>
        <v>#DIV/0!</v>
      </c>
      <c r="G64" s="2142" t="s">
        <v>2529</v>
      </c>
      <c r="H64" s="1017" t="str">
        <f>项目基本情况!B37</f>
        <v>七级</v>
      </c>
      <c r="I64" s="1021">
        <f>SUMIF(修正!A45:A56,H64,修正!H45:H56)</f>
        <v>0.2</v>
      </c>
      <c r="J64" s="1025"/>
      <c r="K64" s="2926"/>
      <c r="L64" s="2980"/>
      <c r="M64" s="2980"/>
      <c r="N64" s="2980"/>
      <c r="O64" s="2980"/>
      <c r="P64" s="2980"/>
      <c r="Q64" s="2980"/>
      <c r="R64" s="2980"/>
      <c r="S64" s="2980"/>
      <c r="T64" s="2980"/>
      <c r="U64" s="2980"/>
      <c r="V64" s="2980"/>
      <c r="W64" s="2980"/>
      <c r="X64" s="2980"/>
      <c r="Y64" s="2980"/>
      <c r="Z64" s="2980"/>
      <c r="AA64" s="2980"/>
      <c r="AB64" s="2980"/>
      <c r="AC64" s="2980"/>
    </row>
    <row r="65" spans="1:29" s="647" customFormat="1" ht="15" thickBot="1">
      <c r="A65" s="648" t="s">
        <v>2540</v>
      </c>
      <c r="B65" s="223" t="e">
        <f t="shared" si="17"/>
        <v>#DIV/0!</v>
      </c>
      <c r="C65" s="175">
        <f t="shared" si="16"/>
        <v>0.2</v>
      </c>
      <c r="D65" s="1075">
        <v>0.25</v>
      </c>
      <c r="E65" s="222">
        <f>'数据-汇总表'!E15</f>
        <v>0</v>
      </c>
      <c r="F65" s="1016" t="e">
        <f t="shared" si="15"/>
        <v>#DIV/0!</v>
      </c>
      <c r="G65" s="2143" t="s">
        <v>2534</v>
      </c>
      <c r="H65" s="1027" t="str">
        <f>项目基本情况!C37</f>
        <v>七级</v>
      </c>
      <c r="I65" s="1023">
        <f>SUMIF(修正!A45:A56,H65,修正!H45:H56)</f>
        <v>0.2</v>
      </c>
      <c r="J65" s="1026"/>
      <c r="K65" s="2923"/>
      <c r="L65" s="2980"/>
      <c r="M65" s="2980"/>
      <c r="N65" s="2980"/>
      <c r="O65" s="2980"/>
      <c r="P65" s="2980"/>
      <c r="Q65" s="2980"/>
      <c r="R65" s="2980"/>
      <c r="S65" s="2980"/>
      <c r="T65" s="2980"/>
      <c r="U65" s="2980"/>
      <c r="V65" s="2980"/>
      <c r="W65" s="2980"/>
      <c r="X65" s="2980"/>
      <c r="Y65" s="2980"/>
      <c r="Z65" s="2980"/>
      <c r="AA65" s="2980"/>
      <c r="AB65" s="2980"/>
      <c r="AC65" s="2980"/>
    </row>
    <row r="66" spans="1:29" s="647" customFormat="1" ht="13.5" thickBot="1">
      <c r="A66" s="650" t="s">
        <v>2541</v>
      </c>
      <c r="B66" s="651" t="s">
        <v>28</v>
      </c>
      <c r="C66" s="651" t="s">
        <v>29</v>
      </c>
      <c r="D66" s="651" t="s">
        <v>997</v>
      </c>
      <c r="E66" s="651">
        <f>IF(B46="楼面地价",SUM(E56:E65),'数据-汇总表'!D3)</f>
        <v>20815.18</v>
      </c>
      <c r="F66" s="652" t="e">
        <f>IF(B46="楼面地价",SUM(F56:F65),ROUND(C48*E66/10000,0))</f>
        <v>#DIV/0!</v>
      </c>
      <c r="G66" s="725"/>
      <c r="H66" s="725"/>
      <c r="I66" s="725"/>
      <c r="J66" s="725"/>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8"/>
      <c r="B67" s="700"/>
      <c r="C67" s="701"/>
      <c r="D67" s="698"/>
      <c r="E67" s="698"/>
      <c r="F67" s="698"/>
      <c r="G67" s="698"/>
      <c r="H67" s="698"/>
      <c r="I67" s="698"/>
      <c r="J67" s="1057"/>
      <c r="K67" s="1018"/>
      <c r="L67" s="1019"/>
      <c r="M67" s="1057"/>
      <c r="N67" s="1057"/>
      <c r="O67" s="1057"/>
      <c r="P67" s="2923"/>
      <c r="Q67" s="2923"/>
      <c r="R67" s="2923"/>
      <c r="S67" s="2923"/>
      <c r="T67" s="2923"/>
      <c r="U67" s="2923"/>
      <c r="V67" s="2923"/>
      <c r="W67" s="2923"/>
      <c r="X67" s="2923"/>
      <c r="Y67" s="2923"/>
      <c r="Z67" s="2923"/>
      <c r="AA67" s="2923"/>
      <c r="AB67" s="2923"/>
      <c r="AC67" s="2923"/>
    </row>
    <row r="68" spans="1:29">
      <c r="A68" s="698"/>
      <c r="B68" s="700"/>
      <c r="C68" s="700" t="str">
        <f>YEAR(C7)&amp;"-"&amp;MONTH(C7)&amp;"-1"</f>
        <v>2022-2-1</v>
      </c>
      <c r="D68" s="700">
        <f>EDATE(C68,-3)</f>
        <v>44501</v>
      </c>
      <c r="E68" s="700">
        <f>EDATE(D68,-3)</f>
        <v>44409</v>
      </c>
      <c r="F68" s="700">
        <f t="shared" ref="F68:O68" si="18">EDATE(E68,-3)</f>
        <v>44317</v>
      </c>
      <c r="G68" s="700">
        <f t="shared" si="18"/>
        <v>44228</v>
      </c>
      <c r="H68" s="700">
        <f t="shared" si="18"/>
        <v>44136</v>
      </c>
      <c r="I68" s="700">
        <f t="shared" si="18"/>
        <v>44044</v>
      </c>
      <c r="J68" s="700">
        <f t="shared" si="18"/>
        <v>43952</v>
      </c>
      <c r="K68" s="700">
        <f t="shared" si="18"/>
        <v>43862</v>
      </c>
      <c r="L68" s="700">
        <f t="shared" si="18"/>
        <v>43770</v>
      </c>
      <c r="M68" s="700">
        <f t="shared" si="18"/>
        <v>43678</v>
      </c>
      <c r="N68" s="700">
        <f t="shared" si="18"/>
        <v>43586</v>
      </c>
      <c r="O68" s="700">
        <f t="shared" si="18"/>
        <v>43497</v>
      </c>
      <c r="P68" s="2923"/>
      <c r="Q68" s="2923"/>
      <c r="R68" s="2923"/>
      <c r="S68" s="2923"/>
      <c r="T68" s="2923"/>
      <c r="U68" s="2923"/>
      <c r="V68" s="2923"/>
      <c r="W68" s="2923"/>
      <c r="X68" s="2923"/>
      <c r="Y68" s="2923"/>
      <c r="Z68" s="2923"/>
      <c r="AA68" s="2923"/>
      <c r="AB68" s="2923"/>
      <c r="AC68" s="2923"/>
    </row>
    <row r="69" spans="1:29" ht="21.75" thickBot="1">
      <c r="A69" s="702" t="s">
        <v>2435</v>
      </c>
      <c r="B69" s="698"/>
      <c r="C69" s="703"/>
      <c r="D69" s="703"/>
      <c r="E69" s="703"/>
      <c r="F69" s="704"/>
      <c r="G69" s="704"/>
      <c r="H69" s="703"/>
      <c r="I69" s="703"/>
      <c r="J69" s="1070"/>
      <c r="K69" s="1071"/>
      <c r="L69" s="1072"/>
      <c r="M69" s="1070"/>
      <c r="N69" s="2967"/>
      <c r="O69" s="2967"/>
      <c r="P69" s="2967"/>
      <c r="Q69" s="2937"/>
      <c r="R69" s="2923"/>
      <c r="S69" s="2923"/>
      <c r="T69" s="2923"/>
      <c r="U69" s="2923"/>
      <c r="V69" s="2923"/>
      <c r="W69" s="2923"/>
      <c r="X69" s="2923"/>
      <c r="Y69" s="2923"/>
      <c r="Z69" s="2923"/>
      <c r="AA69" s="2923"/>
      <c r="AB69" s="2923"/>
      <c r="AC69" s="2923"/>
    </row>
    <row r="70" spans="1:29" s="464" customFormat="1" ht="15">
      <c r="A70" s="2144" t="s">
        <v>2542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2543</v>
      </c>
      <c r="B71" s="293" t="str">
        <f>"北京市平均增长率"&amp;TEXT(SUMIF(基准地价修正!N21:N25,A71,基准地价修正!P21:P25),"0.00%")</f>
        <v>北京市平均增长率1.81%</v>
      </c>
      <c r="C71" s="559">
        <v>100</v>
      </c>
      <c r="D71" s="551"/>
      <c r="E71" s="551"/>
      <c r="F71" s="551"/>
      <c r="G71" s="551"/>
      <c r="H71" s="551"/>
      <c r="I71" s="551"/>
      <c r="J71" s="551"/>
      <c r="K71" s="551"/>
      <c r="L71" s="551"/>
      <c r="M71" s="1311"/>
      <c r="N71" s="551"/>
      <c r="O71" s="1312"/>
      <c r="P71" s="2937"/>
      <c r="Q71" s="2857"/>
      <c r="R71" s="2857"/>
      <c r="S71" s="2857"/>
      <c r="T71" s="2857"/>
      <c r="U71" s="2857"/>
      <c r="V71" s="2857"/>
      <c r="W71" s="2857"/>
      <c r="X71" s="2857"/>
      <c r="Y71" s="2857"/>
      <c r="Z71" s="2857"/>
      <c r="AA71" s="2857"/>
      <c r="AB71" s="2857"/>
      <c r="AC71" s="2857"/>
    </row>
    <row r="72" spans="1:29" s="113" customFormat="1" ht="15.75" thickBot="1">
      <c r="A72" s="471" t="s">
        <v>2346</v>
      </c>
      <c r="B72" s="472"/>
      <c r="C72" s="473"/>
      <c r="D72" s="474"/>
      <c r="E72" s="474"/>
      <c r="F72" s="474"/>
      <c r="G72" s="474"/>
      <c r="H72" s="474"/>
      <c r="I72" s="474"/>
      <c r="J72" s="474"/>
      <c r="K72" s="474"/>
      <c r="L72" s="474"/>
      <c r="M72" s="475"/>
      <c r="N72" s="474"/>
      <c r="O72" s="1073"/>
      <c r="P72" s="2937"/>
      <c r="Q72" s="2937"/>
      <c r="R72" s="2857"/>
      <c r="S72" s="2857"/>
      <c r="T72" s="2857"/>
      <c r="U72" s="2857"/>
      <c r="V72" s="2857"/>
      <c r="W72" s="2857"/>
      <c r="X72" s="2857"/>
      <c r="Y72" s="2857"/>
      <c r="Z72" s="2857"/>
      <c r="AA72" s="2857"/>
      <c r="AB72" s="2857"/>
      <c r="AC72" s="2857"/>
    </row>
    <row r="73" spans="1:29" s="113" customFormat="1" ht="15">
      <c r="A73" s="477" t="s">
        <v>2311</v>
      </c>
      <c r="B73" s="466"/>
      <c r="C73" s="478" t="s">
        <v>2413</v>
      </c>
      <c r="D73" s="479"/>
      <c r="E73" s="479"/>
      <c r="F73" s="479"/>
      <c r="G73" s="479"/>
      <c r="H73" s="479"/>
      <c r="I73" s="479"/>
      <c r="J73" s="479"/>
      <c r="K73" s="479"/>
      <c r="L73" s="480"/>
      <c r="M73" s="481"/>
      <c r="N73" s="2950"/>
      <c r="O73" s="2950"/>
      <c r="P73" s="2975"/>
      <c r="Q73" s="2937"/>
      <c r="R73" s="2857"/>
      <c r="S73" s="2857"/>
      <c r="T73" s="2857"/>
      <c r="U73" s="2857"/>
      <c r="V73" s="2857"/>
      <c r="W73" s="2857"/>
      <c r="X73" s="2857"/>
      <c r="Y73" s="2857"/>
      <c r="Z73" s="2857"/>
      <c r="AA73" s="2857"/>
      <c r="AB73" s="2857"/>
      <c r="AC73" s="2857"/>
    </row>
    <row r="74" spans="1:29" s="113" customFormat="1" ht="15.75" thickBot="1">
      <c r="A74" s="477"/>
      <c r="B74" s="466"/>
      <c r="C74" s="594">
        <v>100</v>
      </c>
      <c r="D74" s="468"/>
      <c r="E74" s="468"/>
      <c r="F74" s="468"/>
      <c r="G74" s="468"/>
      <c r="H74" s="468"/>
      <c r="I74" s="468"/>
      <c r="J74" s="468"/>
      <c r="K74" s="468"/>
      <c r="L74" s="468"/>
      <c r="M74" s="470"/>
      <c r="N74" s="2950"/>
      <c r="O74" s="2950"/>
      <c r="P74" s="2937"/>
      <c r="Q74" s="2937"/>
      <c r="R74" s="2857"/>
      <c r="S74" s="2857"/>
      <c r="T74" s="2857"/>
      <c r="U74" s="2857"/>
      <c r="V74" s="2857"/>
      <c r="W74" s="2857"/>
      <c r="X74" s="2857"/>
      <c r="Y74" s="2857"/>
      <c r="Z74" s="2857"/>
      <c r="AA74" s="2857"/>
      <c r="AB74" s="2857"/>
      <c r="AC74" s="2857"/>
    </row>
    <row r="75" spans="1:29">
      <c r="A75" s="483" t="s">
        <v>2349</v>
      </c>
      <c r="B75" s="484" t="s">
        <v>2315</v>
      </c>
      <c r="C75" s="486"/>
      <c r="D75" s="486"/>
      <c r="E75" s="486"/>
      <c r="F75" s="486"/>
      <c r="G75" s="486"/>
      <c r="H75" s="486"/>
      <c r="I75" s="486"/>
      <c r="J75" s="486"/>
      <c r="K75" s="487"/>
      <c r="L75" s="488"/>
      <c r="M75" s="489"/>
      <c r="N75" s="2951"/>
      <c r="O75" s="2951"/>
      <c r="P75" s="2976"/>
      <c r="Q75" s="2937"/>
      <c r="R75" s="2923"/>
      <c r="S75" s="2923"/>
      <c r="T75" s="2923"/>
      <c r="U75" s="2923"/>
      <c r="V75" s="2923"/>
      <c r="W75" s="2923"/>
      <c r="X75" s="2923"/>
      <c r="Y75" s="2923"/>
      <c r="Z75" s="2923"/>
      <c r="AA75" s="2923"/>
      <c r="AB75" s="2923"/>
      <c r="AC75" s="2923"/>
    </row>
    <row r="76" spans="1:29" ht="15.75" thickBot="1">
      <c r="A76" s="490"/>
      <c r="B76" s="491"/>
      <c r="C76" s="492"/>
      <c r="D76" s="492"/>
      <c r="E76" s="492"/>
      <c r="F76" s="492"/>
      <c r="G76" s="492"/>
      <c r="H76" s="492"/>
      <c r="I76" s="492"/>
      <c r="J76" s="492"/>
      <c r="K76" s="492"/>
      <c r="L76" s="492"/>
      <c r="M76" s="493"/>
      <c r="N76" s="2952"/>
      <c r="O76" s="2952"/>
      <c r="P76" s="2976"/>
      <c r="Q76" s="2937"/>
      <c r="R76" s="2923"/>
      <c r="S76" s="2923"/>
      <c r="T76" s="2923"/>
      <c r="U76" s="2923"/>
      <c r="V76" s="2923"/>
      <c r="W76" s="2923"/>
      <c r="X76" s="2923"/>
      <c r="Y76" s="2923"/>
      <c r="Z76" s="2923"/>
      <c r="AA76" s="2923"/>
      <c r="AB76" s="2923"/>
      <c r="AC76" s="2923"/>
    </row>
    <row r="77" spans="1:29" ht="27.75" thickTop="1">
      <c r="A77" s="490"/>
      <c r="B77" s="494" t="s">
        <v>2318</v>
      </c>
      <c r="C77" s="495"/>
      <c r="D77" s="495"/>
      <c r="E77" s="495"/>
      <c r="F77" s="495"/>
      <c r="G77" s="495"/>
      <c r="H77" s="495"/>
      <c r="I77" s="495"/>
      <c r="J77" s="495"/>
      <c r="K77" s="496"/>
      <c r="L77" s="497"/>
      <c r="M77" s="498"/>
      <c r="N77" s="2951"/>
      <c r="O77" s="2951"/>
      <c r="P77" s="2976"/>
      <c r="Q77" s="2937"/>
      <c r="R77" s="2923"/>
      <c r="S77" s="2923"/>
      <c r="T77" s="2923"/>
      <c r="U77" s="2923"/>
      <c r="V77" s="2923"/>
      <c r="W77" s="2923"/>
      <c r="X77" s="2923"/>
      <c r="Y77" s="2923"/>
      <c r="Z77" s="2923"/>
      <c r="AA77" s="2923"/>
      <c r="AB77" s="2923"/>
      <c r="AC77" s="2923"/>
    </row>
    <row r="78" spans="1:29" ht="15.75" thickBot="1">
      <c r="A78" s="490"/>
      <c r="B78" s="499"/>
      <c r="C78" s="500"/>
      <c r="D78" s="500"/>
      <c r="E78" s="500"/>
      <c r="F78" s="500"/>
      <c r="G78" s="500"/>
      <c r="H78" s="500"/>
      <c r="I78" s="500"/>
      <c r="J78" s="500"/>
      <c r="K78" s="500"/>
      <c r="L78" s="500"/>
      <c r="M78" s="501"/>
      <c r="N78" s="2952"/>
      <c r="O78" s="2952"/>
      <c r="P78" s="2976"/>
      <c r="Q78" s="2937"/>
      <c r="R78" s="2923"/>
      <c r="S78" s="2923"/>
      <c r="T78" s="2923"/>
      <c r="U78" s="2923"/>
      <c r="V78" s="2923"/>
      <c r="W78" s="2923"/>
      <c r="X78" s="2923"/>
      <c r="Y78" s="2923"/>
      <c r="Z78" s="2923"/>
      <c r="AA78" s="2923"/>
      <c r="AB78" s="2923"/>
      <c r="AC78" s="2923"/>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0"/>
      <c r="B80" s="504"/>
      <c r="C80" s="505"/>
      <c r="D80" s="505"/>
      <c r="E80" s="505"/>
      <c r="F80" s="505"/>
      <c r="G80" s="505"/>
      <c r="H80" s="505"/>
      <c r="I80" s="505"/>
      <c r="J80" s="505"/>
      <c r="K80" s="506"/>
      <c r="L80" s="507"/>
      <c r="M80" s="508"/>
      <c r="N80" s="2951"/>
      <c r="O80" s="2951"/>
      <c r="P80" s="2976"/>
      <c r="Q80" s="2937"/>
      <c r="R80" s="2923"/>
      <c r="S80" s="2923"/>
      <c r="T80" s="2923"/>
      <c r="U80" s="2923"/>
      <c r="V80" s="2923"/>
      <c r="W80" s="2923"/>
      <c r="X80" s="2923"/>
      <c r="Y80" s="2923"/>
      <c r="Z80" s="2923"/>
      <c r="AA80" s="2923"/>
      <c r="AB80" s="2923"/>
      <c r="AC80" s="2923"/>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2"/>
      <c r="O81" s="2952"/>
      <c r="P81" s="2976"/>
      <c r="Q81" s="2937"/>
      <c r="R81" s="2923"/>
      <c r="S81" s="2923"/>
      <c r="T81" s="2923"/>
      <c r="U81" s="2923"/>
      <c r="V81" s="2923"/>
      <c r="W81" s="2923"/>
      <c r="X81" s="2923"/>
      <c r="Y81" s="2923"/>
      <c r="Z81" s="2923"/>
      <c r="AA81" s="2923"/>
      <c r="AB81" s="2923"/>
      <c r="AC81" s="2923"/>
    </row>
    <row r="82" spans="1:29" s="429" customFormat="1" ht="15.75" thickTop="1">
      <c r="A82" s="509"/>
      <c r="B82" s="494" t="str">
        <f>B12</f>
        <v>配建</v>
      </c>
      <c r="C82" s="510"/>
      <c r="D82" s="510"/>
      <c r="E82" s="510"/>
      <c r="F82" s="510"/>
      <c r="G82" s="510"/>
      <c r="H82" s="511"/>
      <c r="I82" s="511"/>
      <c r="J82" s="511"/>
      <c r="K82" s="511"/>
      <c r="L82" s="512"/>
      <c r="M82" s="513"/>
      <c r="N82" s="2953"/>
      <c r="O82" s="2953"/>
      <c r="P82" s="2977"/>
      <c r="Q82" s="2944"/>
      <c r="R82" s="2945"/>
      <c r="S82" s="2945"/>
      <c r="T82" s="2945"/>
      <c r="U82" s="2945"/>
      <c r="V82" s="2945"/>
      <c r="W82" s="2945"/>
      <c r="X82" s="2945"/>
      <c r="Y82" s="2945"/>
      <c r="Z82" s="2945"/>
      <c r="AA82" s="2945"/>
      <c r="AB82" s="2945"/>
      <c r="AC82" s="2945"/>
    </row>
    <row r="83" spans="1:29" s="429" customFormat="1" ht="15.75" thickBot="1">
      <c r="A83" s="509"/>
      <c r="B83" s="499"/>
      <c r="C83" s="516"/>
      <c r="D83" s="492"/>
      <c r="E83" s="492"/>
      <c r="F83" s="492"/>
      <c r="G83" s="492"/>
      <c r="H83" s="492"/>
      <c r="I83" s="492"/>
      <c r="J83" s="492"/>
      <c r="K83" s="492"/>
      <c r="L83" s="492"/>
      <c r="M83" s="493"/>
      <c r="N83" s="2952"/>
      <c r="O83" s="2952"/>
      <c r="P83" s="2977"/>
      <c r="Q83" s="2944"/>
      <c r="R83" s="2945"/>
      <c r="S83" s="2945"/>
      <c r="T83" s="2945"/>
      <c r="U83" s="2945"/>
      <c r="V83" s="2945"/>
      <c r="W83" s="2945"/>
      <c r="X83" s="2945"/>
      <c r="Y83" s="2945"/>
      <c r="Z83" s="2945"/>
      <c r="AA83" s="2945"/>
      <c r="AB83" s="2945"/>
      <c r="AC83" s="2945"/>
    </row>
    <row r="84" spans="1:29" s="429" customFormat="1" ht="15.75" thickTop="1">
      <c r="A84" s="509"/>
      <c r="B84" s="494">
        <f>B13</f>
        <v>111</v>
      </c>
      <c r="C84" s="510"/>
      <c r="D84" s="510"/>
      <c r="E84" s="510"/>
      <c r="F84" s="510"/>
      <c r="G84" s="510"/>
      <c r="H84" s="511"/>
      <c r="I84" s="511"/>
      <c r="J84" s="511"/>
      <c r="K84" s="511"/>
      <c r="L84" s="512"/>
      <c r="M84" s="513"/>
      <c r="N84" s="2953"/>
      <c r="O84" s="2953"/>
      <c r="P84" s="2921"/>
      <c r="Q84" s="2947"/>
      <c r="R84" s="2945"/>
      <c r="S84" s="2945"/>
      <c r="T84" s="2945"/>
      <c r="U84" s="2945"/>
      <c r="V84" s="2945"/>
      <c r="W84" s="2945"/>
      <c r="X84" s="2945"/>
      <c r="Y84" s="2945"/>
      <c r="Z84" s="2945"/>
      <c r="AA84" s="2945"/>
      <c r="AB84" s="2945"/>
      <c r="AC84" s="2945"/>
    </row>
    <row r="85" spans="1:29" s="429" customFormat="1" ht="15.75" thickBot="1">
      <c r="A85" s="509"/>
      <c r="B85" s="499"/>
      <c r="C85" s="516"/>
      <c r="D85" s="516"/>
      <c r="E85" s="516"/>
      <c r="F85" s="516"/>
      <c r="G85" s="516"/>
      <c r="H85" s="518"/>
      <c r="I85" s="518"/>
      <c r="J85" s="518"/>
      <c r="K85" s="518"/>
      <c r="L85" s="518"/>
      <c r="M85" s="519"/>
      <c r="N85" s="2953"/>
      <c r="O85" s="2953"/>
      <c r="P85" s="2977"/>
      <c r="Q85" s="2944"/>
      <c r="R85" s="2945"/>
      <c r="S85" s="2945"/>
      <c r="T85" s="2945"/>
      <c r="U85" s="2945"/>
      <c r="V85" s="2945"/>
      <c r="W85" s="2945"/>
      <c r="X85" s="2945"/>
      <c r="Y85" s="2945"/>
      <c r="Z85" s="2945"/>
      <c r="AA85" s="2945"/>
      <c r="AB85" s="2945"/>
      <c r="AC85" s="2945"/>
    </row>
    <row r="86" spans="1:29" s="429" customFormat="1" ht="15.75" thickTop="1">
      <c r="A86" s="509"/>
      <c r="B86" s="502">
        <f>B14</f>
        <v>111</v>
      </c>
      <c r="C86" s="479"/>
      <c r="D86" s="479"/>
      <c r="E86" s="479"/>
      <c r="F86" s="479"/>
      <c r="G86" s="479"/>
      <c r="H86" s="520"/>
      <c r="I86" s="520"/>
      <c r="J86" s="520"/>
      <c r="K86" s="520"/>
      <c r="L86" s="521"/>
      <c r="M86" s="522"/>
      <c r="N86" s="2953"/>
      <c r="O86" s="2953"/>
      <c r="P86" s="2982"/>
      <c r="Q86" s="2944"/>
      <c r="R86" s="2945"/>
      <c r="S86" s="2945"/>
      <c r="T86" s="2945"/>
      <c r="U86" s="2945"/>
      <c r="V86" s="2945"/>
      <c r="W86" s="2945"/>
      <c r="X86" s="2945"/>
      <c r="Y86" s="2945"/>
      <c r="Z86" s="2945"/>
      <c r="AA86" s="2945"/>
      <c r="AB86" s="2945"/>
      <c r="AC86" s="2945"/>
    </row>
    <row r="87" spans="1:29" s="429" customFormat="1" ht="15.75" thickBot="1">
      <c r="A87" s="524"/>
      <c r="B87" s="525"/>
      <c r="C87" s="526"/>
      <c r="D87" s="526"/>
      <c r="E87" s="526"/>
      <c r="F87" s="526"/>
      <c r="G87" s="526"/>
      <c r="H87" s="527"/>
      <c r="I87" s="527"/>
      <c r="J87" s="527"/>
      <c r="K87" s="527"/>
      <c r="L87" s="527"/>
      <c r="M87" s="528"/>
      <c r="N87" s="2953"/>
      <c r="O87" s="2953"/>
      <c r="P87" s="2977"/>
      <c r="Q87" s="2944"/>
      <c r="R87" s="2945"/>
      <c r="S87" s="2945"/>
      <c r="T87" s="2945"/>
      <c r="U87" s="2945"/>
      <c r="V87" s="2945"/>
      <c r="W87" s="2945"/>
      <c r="X87" s="2945"/>
      <c r="Y87" s="2945"/>
      <c r="Z87" s="2945"/>
      <c r="AA87" s="2945"/>
      <c r="AB87" s="2945"/>
      <c r="AC87" s="2945"/>
    </row>
    <row r="88" spans="1:29">
      <c r="A88" s="483" t="s">
        <v>2320</v>
      </c>
      <c r="B88" s="484" t="s">
        <v>2357</v>
      </c>
      <c r="C88" s="529" t="s">
        <v>2358</v>
      </c>
      <c r="D88" s="529" t="s">
        <v>2359</v>
      </c>
      <c r="E88" s="529" t="s">
        <v>2360</v>
      </c>
      <c r="F88" s="529" t="s">
        <v>2361</v>
      </c>
      <c r="G88" s="529" t="s">
        <v>2362</v>
      </c>
      <c r="H88" s="485"/>
      <c r="I88" s="485"/>
      <c r="J88" s="485"/>
      <c r="K88" s="530"/>
      <c r="L88" s="531"/>
      <c r="M88" s="532"/>
      <c r="N88" s="2951"/>
      <c r="O88" s="2951"/>
      <c r="P88" s="2978"/>
      <c r="Q88" s="2937"/>
      <c r="R88" s="2923"/>
      <c r="S88" s="2923"/>
      <c r="T88" s="2923"/>
      <c r="U88" s="2923"/>
      <c r="V88" s="2923"/>
      <c r="W88" s="2923"/>
      <c r="X88" s="2923"/>
      <c r="Y88" s="2923"/>
      <c r="Z88" s="2923"/>
      <c r="AA88" s="2923"/>
      <c r="AB88" s="2923"/>
      <c r="AC88" s="2923"/>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2"/>
      <c r="O89" s="2952"/>
      <c r="P89" s="2976"/>
      <c r="Q89" s="2937"/>
      <c r="R89" s="2923"/>
      <c r="S89" s="2923"/>
      <c r="T89" s="2923"/>
      <c r="U89" s="2923"/>
      <c r="V89" s="2923"/>
      <c r="W89" s="2923"/>
      <c r="X89" s="2923"/>
      <c r="Y89" s="2923"/>
      <c r="Z89" s="2923"/>
      <c r="AA89" s="2923"/>
      <c r="AB89" s="2923"/>
      <c r="AC89" s="2923"/>
    </row>
    <row r="90" spans="1:29" ht="15.75" thickTop="1">
      <c r="A90" s="490"/>
      <c r="B90" s="494" t="s">
        <v>2544</v>
      </c>
      <c r="C90" s="534" t="s">
        <v>2358</v>
      </c>
      <c r="D90" s="534" t="s">
        <v>2359</v>
      </c>
      <c r="E90" s="534" t="s">
        <v>2360</v>
      </c>
      <c r="F90" s="534" t="s">
        <v>2361</v>
      </c>
      <c r="G90" s="534" t="s">
        <v>2362</v>
      </c>
      <c r="H90" s="495"/>
      <c r="I90" s="495"/>
      <c r="J90" s="495"/>
      <c r="K90" s="496"/>
      <c r="L90" s="497"/>
      <c r="M90" s="498"/>
      <c r="N90" s="2951"/>
      <c r="O90" s="2951"/>
      <c r="P90" s="2976"/>
      <c r="Q90" s="2937"/>
      <c r="R90" s="2923"/>
      <c r="S90" s="2923"/>
      <c r="T90" s="2923"/>
      <c r="U90" s="2923"/>
      <c r="V90" s="2923"/>
      <c r="W90" s="2923"/>
      <c r="X90" s="2923"/>
      <c r="Y90" s="2923"/>
      <c r="Z90" s="2923"/>
      <c r="AA90" s="2923"/>
      <c r="AB90" s="2923"/>
      <c r="AC90" s="2923"/>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2"/>
      <c r="O91" s="2952"/>
      <c r="P91" s="2976"/>
      <c r="Q91" s="2937"/>
      <c r="R91" s="2923"/>
      <c r="S91" s="2923"/>
      <c r="T91" s="2923"/>
      <c r="U91" s="2923"/>
      <c r="V91" s="2923"/>
      <c r="W91" s="2923"/>
      <c r="X91" s="2923"/>
      <c r="Y91" s="2923"/>
      <c r="Z91" s="2923"/>
      <c r="AA91" s="2923"/>
      <c r="AB91" s="2923"/>
      <c r="AC91" s="2923"/>
    </row>
    <row r="92" spans="1:29" ht="15.75" thickTop="1">
      <c r="A92" s="490"/>
      <c r="B92" s="494" t="s">
        <v>2458</v>
      </c>
      <c r="C92" s="534" t="s">
        <v>2358</v>
      </c>
      <c r="D92" s="534" t="s">
        <v>2359</v>
      </c>
      <c r="E92" s="534" t="s">
        <v>2360</v>
      </c>
      <c r="F92" s="534" t="s">
        <v>2361</v>
      </c>
      <c r="G92" s="534" t="s">
        <v>2362</v>
      </c>
      <c r="H92" s="495"/>
      <c r="I92" s="495"/>
      <c r="J92" s="495"/>
      <c r="K92" s="496"/>
      <c r="L92" s="497"/>
      <c r="M92" s="498"/>
      <c r="N92" s="2951"/>
      <c r="O92" s="2951"/>
      <c r="P92" s="2976"/>
      <c r="Q92" s="2937"/>
      <c r="R92" s="2923"/>
      <c r="S92" s="2923"/>
      <c r="T92" s="2923"/>
      <c r="U92" s="2923"/>
      <c r="V92" s="2923"/>
      <c r="W92" s="2923"/>
      <c r="X92" s="2923"/>
      <c r="Y92" s="2923"/>
      <c r="Z92" s="2923"/>
      <c r="AA92" s="2923"/>
      <c r="AB92" s="2923"/>
      <c r="AC92" s="2923"/>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2"/>
      <c r="O93" s="2952"/>
      <c r="P93" s="2976"/>
      <c r="Q93" s="2937"/>
      <c r="R93" s="2923"/>
      <c r="S93" s="2923"/>
      <c r="T93" s="2923"/>
      <c r="U93" s="2923"/>
      <c r="V93" s="2923"/>
      <c r="W93" s="2923"/>
      <c r="X93" s="2923"/>
      <c r="Y93" s="2923"/>
      <c r="Z93" s="2923"/>
      <c r="AA93" s="2923"/>
      <c r="AB93" s="2923"/>
      <c r="AC93" s="2923"/>
    </row>
    <row r="94" spans="1:29" ht="15.75" thickTop="1">
      <c r="A94" s="490"/>
      <c r="B94" s="494" t="s">
        <v>2363</v>
      </c>
      <c r="C94" s="534" t="s">
        <v>2358</v>
      </c>
      <c r="D94" s="534" t="s">
        <v>2359</v>
      </c>
      <c r="E94" s="534" t="s">
        <v>2360</v>
      </c>
      <c r="F94" s="534" t="s">
        <v>2361</v>
      </c>
      <c r="G94" s="534" t="s">
        <v>2362</v>
      </c>
      <c r="H94" s="495"/>
      <c r="I94" s="495"/>
      <c r="J94" s="495"/>
      <c r="K94" s="496"/>
      <c r="L94" s="497"/>
      <c r="M94" s="498"/>
      <c r="N94" s="2951"/>
      <c r="O94" s="2951"/>
      <c r="P94" s="2976"/>
      <c r="Q94" s="2937"/>
      <c r="R94" s="2923"/>
      <c r="S94" s="2923"/>
      <c r="T94" s="2923"/>
      <c r="U94" s="2923"/>
      <c r="V94" s="2923"/>
      <c r="W94" s="2923"/>
      <c r="X94" s="2923"/>
      <c r="Y94" s="2923"/>
      <c r="Z94" s="2923"/>
      <c r="AA94" s="2923"/>
      <c r="AB94" s="2923"/>
      <c r="AC94" s="2923"/>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2"/>
      <c r="O95" s="2952"/>
      <c r="P95" s="2976"/>
      <c r="Q95" s="2937"/>
      <c r="R95" s="2923"/>
      <c r="S95" s="2923"/>
      <c r="T95" s="2923"/>
      <c r="U95" s="2923"/>
      <c r="V95" s="2923"/>
      <c r="W95" s="2923"/>
      <c r="X95" s="2923"/>
      <c r="Y95" s="2923"/>
      <c r="Z95" s="2923"/>
      <c r="AA95" s="2923"/>
      <c r="AB95" s="2923"/>
      <c r="AC95" s="2923"/>
    </row>
    <row r="96" spans="1:29" s="113" customFormat="1" ht="15.75" thickTop="1">
      <c r="A96" s="535"/>
      <c r="B96" s="494" t="s">
        <v>2545</v>
      </c>
      <c r="C96" s="534" t="s">
        <v>2358</v>
      </c>
      <c r="D96" s="534" t="s">
        <v>2359</v>
      </c>
      <c r="E96" s="534" t="s">
        <v>2360</v>
      </c>
      <c r="F96" s="534" t="s">
        <v>2361</v>
      </c>
      <c r="G96" s="534" t="s">
        <v>2362</v>
      </c>
      <c r="H96" s="534"/>
      <c r="I96" s="534"/>
      <c r="J96" s="534"/>
      <c r="K96" s="534"/>
      <c r="L96" s="653"/>
      <c r="M96" s="577"/>
      <c r="N96" s="2950"/>
      <c r="O96" s="2950"/>
      <c r="P96" s="2976"/>
      <c r="Q96" s="2937"/>
      <c r="R96" s="2857"/>
      <c r="S96" s="2857"/>
      <c r="T96" s="2857"/>
      <c r="U96" s="2857"/>
      <c r="V96" s="2857"/>
      <c r="W96" s="2857"/>
      <c r="X96" s="2857"/>
      <c r="Y96" s="2857"/>
      <c r="Z96" s="2857"/>
      <c r="AA96" s="2857"/>
      <c r="AB96" s="2857"/>
      <c r="AC96" s="2857"/>
    </row>
    <row r="97" spans="1:29" s="113" customFormat="1" ht="15.75" thickBot="1">
      <c r="A97" s="535"/>
      <c r="B97" s="499"/>
      <c r="C97" s="538">
        <v>100</v>
      </c>
      <c r="D97" s="500">
        <f>C97-$K23</f>
        <v>100</v>
      </c>
      <c r="E97" s="500">
        <f>D97-$K23</f>
        <v>100</v>
      </c>
      <c r="F97" s="500">
        <f>E97-$K23</f>
        <v>100</v>
      </c>
      <c r="G97" s="500">
        <f>F97-$K23</f>
        <v>100</v>
      </c>
      <c r="H97" s="500"/>
      <c r="I97" s="500"/>
      <c r="J97" s="500"/>
      <c r="K97" s="500"/>
      <c r="L97" s="500"/>
      <c r="M97" s="501"/>
      <c r="N97" s="2952"/>
      <c r="O97" s="2952"/>
      <c r="P97" s="2976"/>
      <c r="Q97" s="2937"/>
      <c r="R97" s="2857"/>
      <c r="S97" s="2857"/>
      <c r="T97" s="2857"/>
      <c r="U97" s="2857"/>
      <c r="V97" s="2857"/>
      <c r="W97" s="2857"/>
      <c r="X97" s="2857"/>
      <c r="Y97" s="2857"/>
      <c r="Z97" s="2857"/>
      <c r="AA97" s="2857"/>
      <c r="AB97" s="2857"/>
      <c r="AC97" s="2857"/>
    </row>
    <row r="98" spans="1:29" s="113" customFormat="1" ht="27.75" thickTop="1">
      <c r="A98" s="535"/>
      <c r="B98" s="494" t="s">
        <v>2546</v>
      </c>
      <c r="C98" s="529" t="s">
        <v>2358</v>
      </c>
      <c r="D98" s="529" t="s">
        <v>2359</v>
      </c>
      <c r="E98" s="529" t="s">
        <v>2360</v>
      </c>
      <c r="F98" s="529" t="s">
        <v>2361</v>
      </c>
      <c r="G98" s="529" t="s">
        <v>2362</v>
      </c>
      <c r="H98" s="534"/>
      <c r="I98" s="534"/>
      <c r="J98" s="534"/>
      <c r="K98" s="534"/>
      <c r="L98" s="534"/>
      <c r="M98" s="577"/>
      <c r="N98" s="2950"/>
      <c r="O98" s="2950"/>
      <c r="P98" s="2976"/>
      <c r="Q98" s="2937"/>
      <c r="R98" s="2857"/>
      <c r="S98" s="2857"/>
      <c r="T98" s="2857"/>
      <c r="U98" s="2857"/>
      <c r="V98" s="2857"/>
      <c r="W98" s="2857"/>
      <c r="X98" s="2857"/>
      <c r="Y98" s="2857"/>
      <c r="Z98" s="2857"/>
      <c r="AA98" s="2857"/>
      <c r="AB98" s="2857"/>
      <c r="AC98" s="2857"/>
    </row>
    <row r="99" spans="1:29" s="113" customFormat="1" ht="15.75" thickBot="1">
      <c r="A99" s="535"/>
      <c r="B99" s="499"/>
      <c r="C99" s="500">
        <v>100</v>
      </c>
      <c r="D99" s="500">
        <f>C99-$K25</f>
        <v>100</v>
      </c>
      <c r="E99" s="500">
        <f>D99-$K25</f>
        <v>100</v>
      </c>
      <c r="F99" s="500">
        <f>E99-$K25</f>
        <v>100</v>
      </c>
      <c r="G99" s="500">
        <f>F99-$K25</f>
        <v>100</v>
      </c>
      <c r="H99" s="500"/>
      <c r="I99" s="500"/>
      <c r="J99" s="500"/>
      <c r="K99" s="500"/>
      <c r="L99" s="500"/>
      <c r="M99" s="501"/>
      <c r="N99" s="2952"/>
      <c r="O99" s="2952"/>
      <c r="P99" s="2976"/>
      <c r="Q99" s="2937"/>
      <c r="R99" s="2857"/>
      <c r="S99" s="2857"/>
      <c r="T99" s="2857"/>
      <c r="U99" s="2857"/>
      <c r="V99" s="2857"/>
      <c r="W99" s="2857"/>
      <c r="X99" s="2857"/>
      <c r="Y99" s="2857"/>
      <c r="Z99" s="2857"/>
      <c r="AA99" s="2857"/>
      <c r="AB99" s="2857"/>
      <c r="AC99" s="2857"/>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3"/>
      <c r="O100" s="2953"/>
      <c r="P100" s="2977"/>
      <c r="Q100" s="2944"/>
      <c r="R100" s="2945"/>
      <c r="S100" s="2945"/>
      <c r="T100" s="2945"/>
      <c r="U100" s="2945"/>
      <c r="V100" s="2945"/>
      <c r="W100" s="2945"/>
      <c r="X100" s="2945"/>
      <c r="Y100" s="2945"/>
      <c r="Z100" s="2945"/>
      <c r="AA100" s="2945"/>
      <c r="AB100" s="2945"/>
      <c r="AC100" s="2945"/>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3"/>
      <c r="O101" s="2953"/>
      <c r="P101" s="2977"/>
      <c r="Q101" s="2944"/>
      <c r="R101" s="2945"/>
      <c r="S101" s="2945"/>
      <c r="T101" s="2945"/>
      <c r="U101" s="2945"/>
      <c r="V101" s="2945"/>
      <c r="W101" s="2945"/>
      <c r="X101" s="2945"/>
      <c r="Y101" s="2945"/>
      <c r="Z101" s="2945"/>
      <c r="AA101" s="2945"/>
      <c r="AB101" s="2945"/>
      <c r="AC101" s="2945"/>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3"/>
      <c r="O102" s="2953"/>
      <c r="P102" s="2977"/>
      <c r="Q102" s="2944"/>
      <c r="R102" s="2945"/>
      <c r="S102" s="2945"/>
      <c r="T102" s="2945"/>
      <c r="U102" s="2945"/>
      <c r="V102" s="2945"/>
      <c r="W102" s="2945"/>
      <c r="X102" s="2945"/>
      <c r="Y102" s="2945"/>
      <c r="Z102" s="2945"/>
      <c r="AA102" s="2945"/>
      <c r="AB102" s="2945"/>
      <c r="AC102" s="2945"/>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3"/>
      <c r="O103" s="2953"/>
      <c r="P103" s="2977"/>
      <c r="Q103" s="2944"/>
      <c r="R103" s="2945"/>
      <c r="S103" s="2945"/>
      <c r="T103" s="2945"/>
      <c r="U103" s="2945"/>
      <c r="V103" s="2945"/>
      <c r="W103" s="2945"/>
      <c r="X103" s="2945"/>
      <c r="Y103" s="2945"/>
      <c r="Z103" s="2945"/>
      <c r="AA103" s="2945"/>
      <c r="AB103" s="2945"/>
      <c r="AC103" s="2945"/>
    </row>
    <row r="104" spans="1:29" ht="15.75" thickTop="1">
      <c r="A104" s="490"/>
      <c r="B104" s="494" t="str">
        <f>B31</f>
        <v>临街状况</v>
      </c>
      <c r="C104" s="495" t="s">
        <v>2547</v>
      </c>
      <c r="D104" s="495" t="s">
        <v>2548</v>
      </c>
      <c r="E104" s="495" t="s">
        <v>2549</v>
      </c>
      <c r="F104" s="495" t="s">
        <v>2550</v>
      </c>
      <c r="G104" s="495"/>
      <c r="H104" s="495"/>
      <c r="I104" s="495"/>
      <c r="J104" s="495"/>
      <c r="K104" s="496"/>
      <c r="L104" s="497"/>
      <c r="M104" s="498"/>
      <c r="N104" s="2951"/>
      <c r="O104" s="2951"/>
      <c r="P104" s="2976"/>
      <c r="Q104" s="2937"/>
      <c r="R104" s="2923"/>
      <c r="S104" s="2923"/>
      <c r="T104" s="2923"/>
      <c r="U104" s="2923"/>
      <c r="V104" s="2923"/>
      <c r="W104" s="2923"/>
      <c r="X104" s="2923"/>
      <c r="Y104" s="2923"/>
      <c r="Z104" s="2923"/>
      <c r="AA104" s="2923"/>
      <c r="AB104" s="2923"/>
      <c r="AC104" s="2923"/>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0"/>
      <c r="B106" s="494" t="s">
        <v>2452</v>
      </c>
      <c r="C106" s="510"/>
      <c r="D106" s="510"/>
      <c r="E106" s="510"/>
      <c r="F106" s="510"/>
      <c r="G106" s="510"/>
      <c r="H106" s="539"/>
      <c r="I106" s="539"/>
      <c r="J106" s="539"/>
      <c r="K106" s="540"/>
      <c r="L106" s="541"/>
      <c r="M106" s="542"/>
      <c r="N106" s="2951"/>
      <c r="O106" s="2951"/>
      <c r="P106" s="2976"/>
      <c r="Q106" s="2937"/>
      <c r="R106" s="2923"/>
      <c r="S106" s="2923"/>
      <c r="T106" s="2923"/>
      <c r="U106" s="2923"/>
      <c r="V106" s="2923"/>
      <c r="W106" s="2923"/>
      <c r="X106" s="2923"/>
      <c r="Y106" s="2923"/>
      <c r="Z106" s="2923"/>
      <c r="AA106" s="2923"/>
      <c r="AB106" s="2923"/>
      <c r="AC106" s="2923"/>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0"/>
      <c r="B108" s="494" t="s">
        <v>2510</v>
      </c>
      <c r="C108" s="539"/>
      <c r="D108" s="539"/>
      <c r="E108" s="539"/>
      <c r="F108" s="539"/>
      <c r="G108" s="539"/>
      <c r="H108" s="539"/>
      <c r="I108" s="539"/>
      <c r="J108" s="539"/>
      <c r="K108" s="540"/>
      <c r="L108" s="541"/>
      <c r="M108" s="542"/>
      <c r="N108" s="2951"/>
      <c r="O108" s="2951"/>
      <c r="P108" s="2976"/>
      <c r="Q108" s="2937"/>
      <c r="R108" s="2923"/>
      <c r="S108" s="2923"/>
      <c r="T108" s="2923"/>
      <c r="U108" s="2923"/>
      <c r="V108" s="2923"/>
      <c r="W108" s="2923"/>
      <c r="X108" s="2923"/>
      <c r="Y108" s="2923"/>
      <c r="Z108" s="2923"/>
      <c r="AA108" s="2923"/>
      <c r="AB108" s="2923"/>
      <c r="AC108" s="2923"/>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0"/>
      <c r="B110" s="502">
        <f>B35</f>
        <v>111</v>
      </c>
      <c r="C110" s="510"/>
      <c r="D110" s="510"/>
      <c r="E110" s="510"/>
      <c r="F110" s="510"/>
      <c r="G110" s="543"/>
      <c r="H110" s="543"/>
      <c r="I110" s="543"/>
      <c r="J110" s="543"/>
      <c r="K110" s="544"/>
      <c r="L110" s="545"/>
      <c r="M110" s="546"/>
      <c r="N110" s="2951"/>
      <c r="O110" s="2951"/>
      <c r="P110" s="2976"/>
      <c r="Q110" s="2937"/>
      <c r="R110" s="2923"/>
      <c r="S110" s="2923"/>
      <c r="T110" s="2923"/>
      <c r="U110" s="2923"/>
      <c r="V110" s="2923"/>
      <c r="W110" s="2923"/>
      <c r="X110" s="2923"/>
      <c r="Y110" s="2923"/>
      <c r="Z110" s="2923"/>
      <c r="AA110" s="2923"/>
      <c r="AB110" s="2923"/>
      <c r="AC110" s="2923"/>
    </row>
    <row r="111" spans="1:29" ht="15.75" thickBot="1">
      <c r="A111" s="490"/>
      <c r="B111" s="525"/>
      <c r="C111" s="516"/>
      <c r="D111" s="516"/>
      <c r="E111" s="516"/>
      <c r="F111" s="516"/>
      <c r="G111" s="547"/>
      <c r="H111" s="547"/>
      <c r="I111" s="547"/>
      <c r="J111" s="547"/>
      <c r="K111" s="547"/>
      <c r="L111" s="547"/>
      <c r="M111" s="548"/>
      <c r="N111" s="2952"/>
      <c r="O111" s="2952"/>
      <c r="P111" s="2976"/>
      <c r="Q111" s="2937"/>
      <c r="R111" s="2923"/>
      <c r="S111" s="2923"/>
      <c r="T111" s="2923"/>
      <c r="U111" s="2923"/>
      <c r="V111" s="2923"/>
      <c r="W111" s="2923"/>
      <c r="X111" s="2923"/>
      <c r="Y111" s="2923"/>
      <c r="Z111" s="2923"/>
      <c r="AA111" s="2923"/>
      <c r="AB111" s="2923"/>
      <c r="AC111" s="2923"/>
    </row>
    <row r="112" spans="1:29" ht="15" thickTop="1">
      <c r="A112" s="630"/>
      <c r="B112" s="494">
        <f>B36</f>
        <v>111</v>
      </c>
      <c r="C112" s="479"/>
      <c r="D112" s="479"/>
      <c r="E112" s="479"/>
      <c r="F112" s="479"/>
      <c r="G112" s="539"/>
      <c r="H112" s="539"/>
      <c r="I112" s="539"/>
      <c r="J112" s="539"/>
      <c r="K112" s="540"/>
      <c r="L112" s="541"/>
      <c r="M112" s="542"/>
      <c r="N112" s="2951"/>
      <c r="O112" s="2951"/>
      <c r="P112" s="2976"/>
      <c r="Q112" s="2937"/>
      <c r="R112" s="2923"/>
      <c r="S112" s="2923"/>
      <c r="T112" s="2923"/>
      <c r="U112" s="2923"/>
      <c r="V112" s="2923"/>
      <c r="W112" s="2923"/>
      <c r="X112" s="2923"/>
      <c r="Y112" s="2923"/>
      <c r="Z112" s="2923"/>
      <c r="AA112" s="2923"/>
      <c r="AB112" s="2923"/>
      <c r="AC112" s="2923"/>
    </row>
    <row r="113" spans="1:29" ht="15.75" thickBot="1">
      <c r="A113" s="490"/>
      <c r="B113" s="499"/>
      <c r="C113" s="526"/>
      <c r="D113" s="526"/>
      <c r="E113" s="526"/>
      <c r="F113" s="526"/>
      <c r="G113" s="492"/>
      <c r="H113" s="492"/>
      <c r="I113" s="492"/>
      <c r="J113" s="492"/>
      <c r="K113" s="492"/>
      <c r="L113" s="492"/>
      <c r="M113" s="493"/>
      <c r="N113" s="2952"/>
      <c r="O113" s="2952"/>
      <c r="P113" s="2976"/>
      <c r="Q113" s="2937"/>
      <c r="R113" s="2923"/>
      <c r="S113" s="2923"/>
      <c r="T113" s="2923"/>
      <c r="U113" s="2923"/>
      <c r="V113" s="2923"/>
      <c r="W113" s="2923"/>
      <c r="X113" s="2923"/>
      <c r="Y113" s="2923"/>
      <c r="Z113" s="2923"/>
      <c r="AA113" s="2923"/>
      <c r="AB113" s="2923"/>
      <c r="AC113" s="2923"/>
    </row>
    <row r="114" spans="1:29" s="429" customFormat="1" ht="15" thickTop="1">
      <c r="A114" s="549"/>
      <c r="B114" s="550">
        <f>B37</f>
        <v>111</v>
      </c>
      <c r="C114" s="551"/>
      <c r="D114" s="551"/>
      <c r="E114" s="551"/>
      <c r="F114" s="551"/>
      <c r="G114" s="551"/>
      <c r="H114" s="551"/>
      <c r="I114" s="551"/>
      <c r="J114" s="552"/>
      <c r="K114" s="552"/>
      <c r="L114" s="553"/>
      <c r="M114" s="554"/>
      <c r="N114" s="2953"/>
      <c r="O114" s="2953"/>
      <c r="P114" s="2977"/>
      <c r="Q114" s="2944"/>
      <c r="R114" s="2945"/>
      <c r="S114" s="2945"/>
      <c r="T114" s="2945"/>
      <c r="U114" s="2945"/>
      <c r="V114" s="2945"/>
      <c r="W114" s="2945"/>
      <c r="X114" s="2945"/>
      <c r="Y114" s="2945"/>
      <c r="Z114" s="2945"/>
      <c r="AA114" s="2945"/>
      <c r="AB114" s="2945"/>
      <c r="AC114" s="2945"/>
    </row>
    <row r="115" spans="1:29" s="429" customFormat="1" ht="15.75" thickBot="1">
      <c r="A115" s="509"/>
      <c r="B115" s="502"/>
      <c r="C115" s="468"/>
      <c r="D115" s="632"/>
      <c r="E115" s="632"/>
      <c r="F115" s="632"/>
      <c r="G115" s="632"/>
      <c r="H115" s="632"/>
      <c r="I115" s="632"/>
      <c r="J115" s="632"/>
      <c r="K115" s="632"/>
      <c r="L115" s="632"/>
      <c r="M115" s="654"/>
      <c r="N115" s="2952"/>
      <c r="O115" s="2952"/>
      <c r="P115" s="2977"/>
      <c r="Q115" s="2944"/>
      <c r="R115" s="2945"/>
      <c r="S115" s="2945"/>
      <c r="T115" s="2945"/>
      <c r="U115" s="2945"/>
      <c r="V115" s="2945"/>
      <c r="W115" s="2945"/>
      <c r="X115" s="2945"/>
      <c r="Y115" s="2945"/>
      <c r="Z115" s="2945"/>
      <c r="AA115" s="2945"/>
      <c r="AB115" s="2945"/>
      <c r="AC115" s="2945"/>
    </row>
    <row r="116" spans="1:29">
      <c r="A116" s="483" t="s">
        <v>2324</v>
      </c>
      <c r="B116" s="484" t="s">
        <v>2551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0"/>
      <c r="B117" s="502"/>
      <c r="C117" s="551"/>
      <c r="D117" s="551"/>
      <c r="E117" s="551"/>
      <c r="F117" s="551"/>
      <c r="G117" s="551"/>
      <c r="H117" s="551"/>
      <c r="I117" s="551"/>
      <c r="J117" s="552"/>
      <c r="K117" s="552"/>
      <c r="L117" s="553"/>
      <c r="M117" s="554"/>
      <c r="N117" s="2951"/>
      <c r="O117" s="2951"/>
      <c r="P117" s="2976"/>
      <c r="Q117" s="2937"/>
      <c r="R117" s="2923"/>
      <c r="S117" s="2923"/>
      <c r="T117" s="2923"/>
      <c r="U117" s="2923"/>
      <c r="V117" s="2923"/>
      <c r="W117" s="2923"/>
      <c r="X117" s="2923"/>
      <c r="Y117" s="2923"/>
      <c r="Z117" s="2923"/>
      <c r="AA117" s="2923"/>
      <c r="AB117" s="2923"/>
      <c r="AC117" s="2923"/>
    </row>
    <row r="118" spans="1:29" ht="15.75" thickBot="1">
      <c r="A118" s="490"/>
      <c r="B118" s="499"/>
      <c r="C118" s="526"/>
      <c r="D118" s="547"/>
      <c r="E118" s="547"/>
      <c r="F118" s="547"/>
      <c r="G118" s="547"/>
      <c r="H118" s="547"/>
      <c r="I118" s="547"/>
      <c r="J118" s="547"/>
      <c r="K118" s="547"/>
      <c r="L118" s="547"/>
      <c r="M118" s="548"/>
      <c r="N118" s="2952"/>
      <c r="O118" s="2952"/>
      <c r="P118" s="2976"/>
      <c r="Q118" s="2937"/>
      <c r="R118" s="2923"/>
      <c r="S118" s="2923"/>
      <c r="T118" s="2923"/>
      <c r="U118" s="2923"/>
      <c r="V118" s="2923"/>
      <c r="W118" s="2923"/>
      <c r="X118" s="2923"/>
      <c r="Y118" s="2923"/>
      <c r="Z118" s="2923"/>
      <c r="AA118" s="2923"/>
      <c r="AB118" s="2923"/>
      <c r="AC118" s="2923"/>
    </row>
    <row r="119" spans="1:29" ht="15" thickTop="1">
      <c r="A119" s="555"/>
      <c r="B119" s="494" t="s">
        <v>2552</v>
      </c>
      <c r="C119" s="539"/>
      <c r="D119" s="539"/>
      <c r="E119" s="539"/>
      <c r="F119" s="539"/>
      <c r="G119" s="539"/>
      <c r="H119" s="539"/>
      <c r="I119" s="539"/>
      <c r="J119" s="539"/>
      <c r="K119" s="540"/>
      <c r="L119" s="541"/>
      <c r="M119" s="542"/>
      <c r="N119" s="2951"/>
      <c r="O119" s="2951"/>
      <c r="P119" s="2976"/>
      <c r="Q119" s="2937"/>
      <c r="R119" s="2923"/>
      <c r="S119" s="2923"/>
      <c r="T119" s="2923"/>
      <c r="U119" s="2923"/>
      <c r="V119" s="2923"/>
      <c r="W119" s="2923"/>
      <c r="X119" s="2923"/>
      <c r="Y119" s="2923"/>
      <c r="Z119" s="2923"/>
      <c r="AA119" s="2923"/>
      <c r="AB119" s="2923"/>
      <c r="AC119" s="2923"/>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5"/>
      <c r="B121" s="494" t="s">
        <v>2553</v>
      </c>
      <c r="C121" s="510"/>
      <c r="D121" s="510"/>
      <c r="E121" s="510"/>
      <c r="F121" s="539"/>
      <c r="G121" s="539"/>
      <c r="H121" s="539"/>
      <c r="I121" s="539"/>
      <c r="J121" s="539"/>
      <c r="K121" s="540"/>
      <c r="L121" s="541"/>
      <c r="M121" s="542"/>
      <c r="N121" s="2951"/>
      <c r="O121" s="2951"/>
      <c r="P121" s="2976"/>
      <c r="Q121" s="2937"/>
      <c r="R121" s="2923"/>
      <c r="S121" s="2923"/>
      <c r="T121" s="2923"/>
      <c r="U121" s="2923"/>
      <c r="V121" s="2923"/>
      <c r="W121" s="2923"/>
      <c r="X121" s="2923"/>
      <c r="Y121" s="2923"/>
      <c r="Z121" s="2923"/>
      <c r="AA121" s="2923"/>
      <c r="AB121" s="2923"/>
      <c r="AC121" s="2923"/>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2"/>
      <c r="O122" s="2952"/>
      <c r="P122" s="2976"/>
      <c r="Q122" s="2937"/>
      <c r="R122" s="2923"/>
      <c r="S122" s="2923"/>
      <c r="T122" s="2923"/>
      <c r="U122" s="2923"/>
      <c r="V122" s="2923"/>
      <c r="W122" s="2923"/>
      <c r="X122" s="2923"/>
      <c r="Y122" s="2923"/>
      <c r="Z122" s="2923"/>
      <c r="AA122" s="2923"/>
      <c r="AB122" s="2923"/>
      <c r="AC122" s="2923"/>
    </row>
    <row r="123" spans="1:29" s="429" customFormat="1" ht="15" thickTop="1">
      <c r="A123" s="549"/>
      <c r="B123" s="494" t="s">
        <v>2554</v>
      </c>
      <c r="C123" s="510"/>
      <c r="D123" s="510"/>
      <c r="E123" s="510"/>
      <c r="F123" s="510"/>
      <c r="G123" s="510"/>
      <c r="H123" s="539"/>
      <c r="I123" s="539"/>
      <c r="J123" s="539"/>
      <c r="K123" s="540"/>
      <c r="L123" s="541"/>
      <c r="M123" s="542"/>
      <c r="N123" s="2953"/>
      <c r="O123" s="2953"/>
      <c r="P123" s="2977"/>
      <c r="Q123" s="2944"/>
      <c r="R123" s="2945"/>
      <c r="S123" s="2945"/>
      <c r="T123" s="2945"/>
      <c r="U123" s="2945"/>
      <c r="V123" s="2945"/>
      <c r="W123" s="2945"/>
      <c r="X123" s="2945"/>
      <c r="Y123" s="2945"/>
      <c r="Z123" s="2945"/>
      <c r="AA123" s="2945"/>
      <c r="AB123" s="2945"/>
      <c r="AC123" s="2945"/>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5"/>
      <c r="B125" s="494" t="s">
        <v>2555</v>
      </c>
      <c r="C125" s="510"/>
      <c r="D125" s="510"/>
      <c r="E125" s="539"/>
      <c r="F125" s="539"/>
      <c r="G125" s="539"/>
      <c r="H125" s="539"/>
      <c r="I125" s="539"/>
      <c r="J125" s="539"/>
      <c r="K125" s="540"/>
      <c r="L125" s="541"/>
      <c r="M125" s="542"/>
      <c r="N125" s="2951"/>
      <c r="O125" s="2951"/>
      <c r="P125" s="2976"/>
      <c r="Q125" s="2937"/>
      <c r="R125" s="2923"/>
      <c r="S125" s="2923"/>
      <c r="T125" s="2923"/>
      <c r="U125" s="2923"/>
      <c r="V125" s="2923"/>
      <c r="W125" s="2923"/>
      <c r="X125" s="2923"/>
      <c r="Y125" s="2923"/>
      <c r="Z125" s="2923"/>
      <c r="AA125" s="2923"/>
      <c r="AB125" s="2923"/>
      <c r="AC125" s="2923"/>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5"/>
      <c r="B127" s="494">
        <f>B43</f>
        <v>111</v>
      </c>
      <c r="C127" s="510"/>
      <c r="D127" s="510"/>
      <c r="E127" s="510"/>
      <c r="F127" s="510"/>
      <c r="G127" s="510"/>
      <c r="H127" s="539"/>
      <c r="I127" s="539"/>
      <c r="J127" s="539"/>
      <c r="K127" s="540"/>
      <c r="L127" s="541"/>
      <c r="M127" s="542"/>
      <c r="N127" s="2951"/>
      <c r="O127" s="2951"/>
      <c r="P127" s="2976"/>
      <c r="Q127" s="2937"/>
      <c r="R127" s="2923"/>
      <c r="S127" s="2923"/>
      <c r="T127" s="2923"/>
      <c r="U127" s="2923"/>
      <c r="V127" s="2923"/>
      <c r="W127" s="2923"/>
      <c r="X127" s="2923"/>
      <c r="Y127" s="2923"/>
      <c r="Z127" s="2923"/>
      <c r="AA127" s="2923"/>
      <c r="AB127" s="2923"/>
      <c r="AC127" s="2923"/>
    </row>
    <row r="128" spans="1:29" ht="15.75" thickBot="1">
      <c r="A128" s="490"/>
      <c r="B128" s="499"/>
      <c r="C128" s="516"/>
      <c r="D128" s="516"/>
      <c r="E128" s="516"/>
      <c r="F128" s="516"/>
      <c r="G128" s="492"/>
      <c r="H128" s="492"/>
      <c r="I128" s="492"/>
      <c r="J128" s="492"/>
      <c r="K128" s="492"/>
      <c r="L128" s="492"/>
      <c r="M128" s="493"/>
      <c r="N128" s="2952"/>
      <c r="O128" s="2952"/>
      <c r="P128" s="2976"/>
      <c r="Q128" s="2937"/>
      <c r="R128" s="2923"/>
      <c r="S128" s="2923"/>
      <c r="T128" s="2923"/>
      <c r="U128" s="2923"/>
      <c r="V128" s="2923"/>
      <c r="W128" s="2923"/>
      <c r="X128" s="2923"/>
      <c r="Y128" s="2923"/>
      <c r="Z128" s="2923"/>
      <c r="AA128" s="2923"/>
      <c r="AB128" s="2923"/>
      <c r="AC128" s="2923"/>
    </row>
    <row r="129" spans="1:29" ht="15" thickTop="1">
      <c r="A129" s="555"/>
      <c r="B129" s="494">
        <f>B44</f>
        <v>111</v>
      </c>
      <c r="C129" s="479"/>
      <c r="D129" s="479"/>
      <c r="E129" s="479"/>
      <c r="F129" s="479"/>
      <c r="G129" s="539"/>
      <c r="H129" s="539"/>
      <c r="I129" s="539"/>
      <c r="J129" s="539"/>
      <c r="K129" s="540"/>
      <c r="L129" s="541"/>
      <c r="M129" s="542"/>
      <c r="N129" s="2951"/>
      <c r="O129" s="2951"/>
      <c r="P129" s="2976"/>
      <c r="Q129" s="2937"/>
      <c r="R129" s="2923"/>
      <c r="S129" s="2923"/>
      <c r="T129" s="2923"/>
      <c r="U129" s="2923"/>
      <c r="V129" s="2923"/>
      <c r="W129" s="2923"/>
      <c r="X129" s="2923"/>
      <c r="Y129" s="2923"/>
      <c r="Z129" s="2923"/>
      <c r="AA129" s="2923"/>
      <c r="AB129" s="2923"/>
      <c r="AC129" s="2923"/>
    </row>
    <row r="130" spans="1:29" ht="15.75" thickBot="1">
      <c r="A130" s="490"/>
      <c r="B130" s="499"/>
      <c r="C130" s="526"/>
      <c r="D130" s="526"/>
      <c r="E130" s="526"/>
      <c r="F130" s="526"/>
      <c r="G130" s="492"/>
      <c r="H130" s="492"/>
      <c r="I130" s="492"/>
      <c r="J130" s="492"/>
      <c r="K130" s="492"/>
      <c r="L130" s="492"/>
      <c r="M130" s="493"/>
      <c r="N130" s="2952"/>
      <c r="O130" s="2952"/>
      <c r="P130" s="2976"/>
      <c r="Q130" s="2937"/>
      <c r="R130" s="2923"/>
      <c r="S130" s="2923"/>
      <c r="T130" s="2923"/>
      <c r="U130" s="2923"/>
      <c r="V130" s="2923"/>
      <c r="W130" s="2923"/>
      <c r="X130" s="2923"/>
      <c r="Y130" s="2923"/>
      <c r="Z130" s="2923"/>
      <c r="AA130" s="2923"/>
      <c r="AB130" s="2923"/>
      <c r="AC130" s="2923"/>
    </row>
    <row r="131" spans="1:29" s="429" customFormat="1" ht="15" thickTop="1">
      <c r="A131" s="549"/>
      <c r="B131" s="494">
        <f>B45</f>
        <v>111</v>
      </c>
      <c r="C131" s="479"/>
      <c r="D131" s="479"/>
      <c r="E131" s="479"/>
      <c r="F131" s="479"/>
      <c r="G131" s="511"/>
      <c r="H131" s="511"/>
      <c r="I131" s="511"/>
      <c r="J131" s="511"/>
      <c r="K131" s="511"/>
      <c r="L131" s="512"/>
      <c r="M131" s="513"/>
      <c r="N131" s="2953"/>
      <c r="O131" s="2953"/>
      <c r="P131" s="2977"/>
      <c r="Q131" s="2944"/>
      <c r="R131" s="2945"/>
      <c r="S131" s="2945"/>
      <c r="T131" s="2945"/>
      <c r="U131" s="2945"/>
      <c r="V131" s="2945"/>
      <c r="W131" s="2945"/>
      <c r="X131" s="2945"/>
      <c r="Y131" s="2945"/>
      <c r="Z131" s="2945"/>
      <c r="AA131" s="2945"/>
      <c r="AB131" s="2945"/>
      <c r="AC131" s="2945"/>
    </row>
    <row r="132" spans="1:29" s="429" customFormat="1" ht="15.75" thickBot="1">
      <c r="A132" s="524"/>
      <c r="B132" s="655"/>
      <c r="C132" s="526"/>
      <c r="D132" s="526"/>
      <c r="E132" s="526"/>
      <c r="F132" s="526"/>
      <c r="G132" s="547"/>
      <c r="H132" s="547"/>
      <c r="I132" s="547"/>
      <c r="J132" s="547"/>
      <c r="K132" s="547"/>
      <c r="L132" s="547"/>
      <c r="M132" s="548"/>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2600-000000000000}">
      <formula1>住宅朝向</formula1>
    </dataValidation>
    <dataValidation type="list" allowBlank="1" showInputMessage="1" showErrorMessage="1" sqref="E28 C28 G28 I28" xr:uid="{00000000-0002-0000-2600-000001000000}">
      <formula1>公共配套设施</formula1>
    </dataValidation>
    <dataValidation type="list" allowBlank="1" showInputMessage="1" showErrorMessage="1" sqref="E22 C22 G22 I22" xr:uid="{00000000-0002-0000-2600-000002000000}">
      <formula1>交通便捷度</formula1>
    </dataValidation>
    <dataValidation type="list" allowBlank="1" showInputMessage="1" showErrorMessage="1" sqref="E16 G16 I16 C16" xr:uid="{00000000-0002-0000-2600-000003000000}">
      <formula1>居住社区成熟度</formula1>
    </dataValidation>
    <dataValidation type="list" allowBlank="1" showInputMessage="1" showErrorMessage="1" sqref="C26 E26 G26 I26" xr:uid="{00000000-0002-0000-2600-000004000000}">
      <formula1>环境</formula1>
    </dataValidation>
    <dataValidation type="list" allowBlank="1" showInputMessage="1" showErrorMessage="1" sqref="B46" xr:uid="{00000000-0002-0000-2600-000005000000}">
      <formula1>单价内涵</formula1>
    </dataValidation>
    <dataValidation type="list" allowBlank="1" showInputMessage="1" showErrorMessage="1" sqref="C8 E8 G8 I8" xr:uid="{00000000-0002-0000-2600-000006000000}">
      <formula1>套综交易情况</formula1>
    </dataValidation>
    <dataValidation type="list" allowBlank="1" showInputMessage="1" showErrorMessage="1" sqref="C9 E9 G9 I9" xr:uid="{00000000-0002-0000-2600-000007000000}">
      <formula1>套综用途</formula1>
    </dataValidation>
    <dataValidation type="list" allowBlank="1" showInputMessage="1" showErrorMessage="1" sqref="E18 C18 G18 I18" xr:uid="{00000000-0002-0000-2600-000008000000}">
      <formula1>商业繁华度</formula1>
    </dataValidation>
    <dataValidation type="list" allowBlank="1" showInputMessage="1" showErrorMessage="1" sqref="E20 C20 G20 I20" xr:uid="{00000000-0002-0000-2600-000009000000}">
      <formula1>办公集聚程度</formula1>
    </dataValidation>
    <dataValidation type="list" allowBlank="1" showInputMessage="1" showErrorMessage="1" sqref="C33 E33 G33 I33" xr:uid="{00000000-0002-0000-2600-00000A000000}">
      <formula1>套综道路等级</formula1>
    </dataValidation>
    <dataValidation type="list" allowBlank="1" showInputMessage="1" showErrorMessage="1" sqref="C34 E34 G34 I34" xr:uid="{00000000-0002-0000-2600-00000B000000}">
      <formula1>套综土地级别</formula1>
    </dataValidation>
    <dataValidation type="list" allowBlank="1" showInputMessage="1" showErrorMessage="1" sqref="C39 E39 G39 I39" xr:uid="{00000000-0002-0000-2600-00000C000000}">
      <formula1>套综宗地形状</formula1>
    </dataValidation>
    <dataValidation type="list" allowBlank="1" showInputMessage="1" showErrorMessage="1" sqref="C40 E40 G40 I40" xr:uid="{00000000-0002-0000-2600-00000D000000}">
      <formula1>套综临街宽度及深度</formula1>
    </dataValidation>
    <dataValidation type="list" allowBlank="1" showInputMessage="1" showErrorMessage="1" sqref="C41 E41 G41 I41" xr:uid="{00000000-0002-0000-2600-00000E000000}">
      <formula1>套综宗地内开发程度</formula1>
    </dataValidation>
    <dataValidation type="list" allowBlank="1" showInputMessage="1" showErrorMessage="1" sqref="C42 E42 G42 I42" xr:uid="{00000000-0002-0000-2600-00000F000000}">
      <formula1>套综工程地质条件</formula1>
    </dataValidation>
    <dataValidation type="list" allowBlank="1" showInputMessage="1" showErrorMessage="1" sqref="C31 E31 G31 I31" xr:uid="{00000000-0002-0000-2600-000010000000}">
      <formula1>临街状况</formula1>
    </dataValidation>
    <dataValidation type="list" allowBlank="1" showInputMessage="1" showErrorMessage="1" sqref="E24 G24 I24 C24" xr:uid="{00000000-0002-0000-2600-000011000000}">
      <formula1>区域土地利用方向</formula1>
    </dataValidation>
    <dataValidation type="list" allowBlank="1" showInputMessage="1" showErrorMessage="1" sqref="C55" xr:uid="{00000000-0002-0000-2600-000012000000}">
      <formula1>"北京市系数,其他省市系数"</formula1>
    </dataValidation>
    <dataValidation type="list" allowBlank="1" showInputMessage="1" showErrorMessage="1" sqref="G62" xr:uid="{00000000-0002-0000-2600-000013000000}">
      <formula1>"商业,办公,住宅,工业"</formula1>
    </dataValidation>
    <dataValidation type="list" allowBlank="1" showInputMessage="1" showErrorMessage="1" sqref="G63" xr:uid="{00000000-0002-0000-2600-000014000000}">
      <formula1>"住宅,工业"</formula1>
    </dataValidation>
    <dataValidation type="list" allowBlank="1" showInputMessage="1" showErrorMessage="1" sqref="D57:D65" xr:uid="{00000000-0002-0000-2600-000015000000}">
      <formula1>"25%,1"</formula1>
    </dataValidation>
    <dataValidation type="list" allowBlank="1" showInputMessage="1" showErrorMessage="1" sqref="C30 E30 G30 I30" xr:uid="{00000000-0002-0000-2600-000016000000}">
      <formula1>基础设施水平</formula1>
    </dataValidation>
    <dataValidation type="list" allowBlank="1" showInputMessage="1" showErrorMessage="1" sqref="A71" xr:uid="{00000000-0002-0000-2600-000017000000}">
      <formula1>"综合,商业,办公,住宅"</formula1>
    </dataValidation>
    <dataValidation type="list" allowBlank="1" showInputMessage="1" showErrorMessage="1" sqref="D47" xr:uid="{00000000-0002-0000-26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65"/>
      <c r="C2" s="3265"/>
      <c r="D2" s="3265"/>
      <c r="E2" s="3265"/>
    </row>
    <row r="3" spans="1:5" ht="18">
      <c r="A3" s="3266" t="str">
        <f>IF(项目基本情况!B9="房地产市场价值","估价结果一览表（市场价值不需“结果表-1”）","估价结果一览表")</f>
        <v>估价结果一览表（市场价值不需“结果表-1”）</v>
      </c>
      <c r="B3" s="3266"/>
      <c r="C3" s="3266"/>
      <c r="D3" s="3266"/>
      <c r="E3" s="3266"/>
    </row>
    <row r="4" spans="1:5" ht="19.5" thickBot="1">
      <c r="A4" s="1647"/>
      <c r="B4" s="3264" t="s">
        <v>1535</v>
      </c>
      <c r="C4" s="3264"/>
      <c r="D4" s="3264"/>
      <c r="E4" s="1647"/>
    </row>
    <row r="5" spans="1:5" ht="16.5" thickTop="1">
      <c r="A5" s="1645"/>
      <c r="B5" s="3262" t="s">
        <v>1527</v>
      </c>
      <c r="C5" s="1648" t="s">
        <v>1528</v>
      </c>
      <c r="D5" s="958" t="e">
        <f ca="1">'结果表-车位'!H101</f>
        <v>#REF!</v>
      </c>
      <c r="E5" s="1645"/>
    </row>
    <row r="6" spans="1:5" ht="15.75">
      <c r="A6" s="1645"/>
      <c r="B6" s="3262"/>
      <c r="C6" s="1648" t="s">
        <v>1529</v>
      </c>
      <c r="D6" s="958" t="e">
        <f ca="1">NUMBERSTRING(INT(D5*10000),2)&amp;"元整"</f>
        <v>#REF!</v>
      </c>
      <c r="E6" s="1645"/>
    </row>
    <row r="7" spans="1:5" ht="15.75">
      <c r="A7" s="1645"/>
      <c r="B7" s="3267"/>
      <c r="C7" s="1649" t="s">
        <v>1530</v>
      </c>
      <c r="D7" s="959" t="e">
        <f ca="1">'结果表-车位'!H102</f>
        <v>#REF!</v>
      </c>
      <c r="E7" s="1645"/>
    </row>
    <row r="8" spans="1:5" ht="15.75">
      <c r="A8" s="1645"/>
      <c r="B8" s="3268" t="str">
        <f>'结果表-车位'!E103</f>
        <v>2.估价师知悉的法定优先受偿款</v>
      </c>
      <c r="C8" s="1650" t="s">
        <v>1531</v>
      </c>
      <c r="D8" s="959">
        <f>'结果表-车位'!H103</f>
        <v>0</v>
      </c>
      <c r="E8" s="1645"/>
    </row>
    <row r="9" spans="1:5" ht="15.75">
      <c r="A9" s="1645"/>
      <c r="B9" s="3270"/>
      <c r="C9" s="1648" t="s">
        <v>1529</v>
      </c>
      <c r="D9" s="958" t="str">
        <f>NUMBERSTRING(INT(D8*10000),2)&amp;"元整"</f>
        <v>零元整</v>
      </c>
      <c r="E9" s="1645"/>
    </row>
    <row r="10" spans="1:5" ht="15">
      <c r="A10" s="1645"/>
      <c r="B10" s="1651" t="s">
        <v>1534</v>
      </c>
      <c r="C10" s="1652" t="s">
        <v>1532</v>
      </c>
      <c r="D10" s="960">
        <f>'结果表-车位'!H104</f>
        <v>0</v>
      </c>
      <c r="E10" s="1645"/>
    </row>
    <row r="11" spans="1:5" ht="15">
      <c r="A11" s="1645"/>
      <c r="B11" s="1651" t="s">
        <v>1536</v>
      </c>
      <c r="C11" s="1652" t="s">
        <v>1537</v>
      </c>
      <c r="D11" s="960">
        <f>'结果表-车位'!H105</f>
        <v>0</v>
      </c>
      <c r="E11" s="1645"/>
    </row>
    <row r="12" spans="1:5" ht="15">
      <c r="A12" s="1645"/>
      <c r="B12" s="1651" t="s">
        <v>1538</v>
      </c>
      <c r="C12" s="1652" t="s">
        <v>1537</v>
      </c>
      <c r="D12" s="960">
        <f>'结果表-车位'!H106</f>
        <v>0</v>
      </c>
      <c r="E12" s="1645"/>
    </row>
    <row r="13" spans="1:5" ht="15.75">
      <c r="A13" s="1645"/>
      <c r="B13" s="3261" t="str">
        <f>'结果表-车位'!E107</f>
        <v>3.房地产抵押价值</v>
      </c>
      <c r="C13" s="1653" t="s">
        <v>1528</v>
      </c>
      <c r="D13" s="961" t="e">
        <f ca="1">'结果表-车位'!H107</f>
        <v>#REF!</v>
      </c>
      <c r="E13" s="1645"/>
    </row>
    <row r="14" spans="1:5" ht="15.75">
      <c r="A14" s="1645"/>
      <c r="B14" s="3262"/>
      <c r="C14" s="1648" t="s">
        <v>1529</v>
      </c>
      <c r="D14" s="958" t="e">
        <f ca="1">NUMBERSTRING(INT(D13*10000),2)&amp;"元整"</f>
        <v>#REF!</v>
      </c>
      <c r="E14" s="1645"/>
    </row>
    <row r="15" spans="1:5" ht="15">
      <c r="A15" s="1645"/>
      <c r="B15" s="3267"/>
      <c r="C15" s="1649" t="s">
        <v>1539</v>
      </c>
      <c r="D15" s="967" t="e">
        <f ca="1">'结果表-车位'!H108</f>
        <v>#REF!</v>
      </c>
      <c r="E15" s="1645"/>
    </row>
    <row r="16" spans="1:5" ht="15">
      <c r="A16" s="1645"/>
      <c r="B16" s="3268" t="str">
        <f>'结果表-车位'!E109</f>
        <v>——</v>
      </c>
      <c r="C16" s="1653" t="s">
        <v>1540</v>
      </c>
      <c r="D16" s="1654" t="str">
        <f>'结果表-车位'!H109</f>
        <v>——</v>
      </c>
      <c r="E16" s="1645"/>
    </row>
    <row r="17" spans="1:5" ht="15.75">
      <c r="A17" s="1645"/>
      <c r="B17" s="3269"/>
      <c r="C17" s="1648" t="s">
        <v>1541</v>
      </c>
      <c r="D17" s="958" t="e">
        <f>NUMBERSTRING(INT(D16*10000),2)&amp;"元整"</f>
        <v>#VALUE!</v>
      </c>
      <c r="E17" s="1645"/>
    </row>
    <row r="18" spans="1:5" ht="15">
      <c r="A18" s="1645"/>
      <c r="B18" s="3270"/>
      <c r="C18" s="1649" t="s">
        <v>1530</v>
      </c>
      <c r="D18" s="967" t="str">
        <f>'结果表-车位'!H110</f>
        <v>——</v>
      </c>
      <c r="E18" s="1645"/>
    </row>
    <row r="19" spans="1:5" ht="15.75">
      <c r="A19" s="1645"/>
      <c r="B19" s="3261" t="str">
        <f>'结果表-车位'!E111</f>
        <v>——</v>
      </c>
      <c r="C19" s="1653" t="s">
        <v>1528</v>
      </c>
      <c r="D19" s="959" t="str">
        <f>'结果表-车位'!H111</f>
        <v>——</v>
      </c>
      <c r="E19" s="1645"/>
    </row>
    <row r="20" spans="1:5" ht="15.75">
      <c r="A20" s="1645"/>
      <c r="B20" s="3262"/>
      <c r="C20" s="1648" t="s">
        <v>1541</v>
      </c>
      <c r="D20" s="958" t="e">
        <f>NUMBERSTRING(INT(D19*10000),2)&amp;"元整"</f>
        <v>#VALUE!</v>
      </c>
      <c r="E20" s="1645"/>
    </row>
    <row r="21" spans="1:5" ht="15.75" thickBot="1">
      <c r="A21" s="1645"/>
      <c r="B21" s="3263"/>
      <c r="C21" s="1655" t="s">
        <v>1539</v>
      </c>
      <c r="D21" s="968" t="str">
        <f>'结果表-车位'!H112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2504</v>
      </c>
      <c r="B1" s="354"/>
      <c r="C1" s="355" t="s">
        <v>2556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t="e">
        <f>F61</f>
        <v>#DIV/0!</v>
      </c>
      <c r="C2" s="1038"/>
      <c r="D2" s="1038"/>
      <c r="E2" s="1038"/>
      <c r="F2" s="1039"/>
      <c r="G2" s="1038"/>
      <c r="H2" s="1038"/>
      <c r="I2" s="1038"/>
      <c r="J2" s="1038"/>
      <c r="K2" s="1040"/>
      <c r="L2" s="2932"/>
      <c r="M2" s="2933"/>
      <c r="N2" s="2933"/>
      <c r="O2" s="2933"/>
      <c r="P2" s="707"/>
      <c r="Q2" s="707"/>
      <c r="R2" s="707"/>
      <c r="S2" s="707"/>
      <c r="T2" s="707"/>
      <c r="U2" s="707"/>
      <c r="V2" s="707"/>
      <c r="W2" s="707"/>
      <c r="X2" s="707"/>
      <c r="Y2" s="707"/>
      <c r="Z2" s="707"/>
      <c r="AA2" s="707"/>
      <c r="AB2" s="707"/>
      <c r="AC2" s="708"/>
    </row>
    <row r="3" spans="1:29" s="357" customFormat="1" ht="28.5" customHeight="1" thickBot="1">
      <c r="A3" s="208" t="s">
        <v>2090</v>
      </c>
      <c r="B3" s="565" t="e">
        <f>ROUND(IF(D3="",B2*10000/'数据-汇总表'!E3,B2*10000/D3),0)</f>
        <v>#DIV/0!</v>
      </c>
      <c r="C3" s="208" t="s">
        <v>2506</v>
      </c>
      <c r="D3" s="1326"/>
      <c r="E3" s="1038"/>
      <c r="F3" s="1039"/>
      <c r="G3" s="1038"/>
      <c r="H3" s="1038"/>
      <c r="I3" s="1038"/>
      <c r="J3" s="1038"/>
      <c r="K3" s="1040"/>
      <c r="L3" s="2932"/>
      <c r="M3" s="2933"/>
      <c r="N3" s="2933"/>
      <c r="O3" s="2933"/>
      <c r="P3" s="707"/>
      <c r="Q3" s="707"/>
      <c r="R3" s="707"/>
      <c r="S3" s="707"/>
      <c r="T3" s="707"/>
      <c r="U3" s="707"/>
      <c r="V3" s="707"/>
      <c r="W3" s="707"/>
      <c r="X3" s="707"/>
      <c r="Y3" s="707"/>
      <c r="Z3" s="707"/>
      <c r="AA3" s="707"/>
      <c r="AB3" s="724"/>
      <c r="AC3" s="721"/>
    </row>
    <row r="4" spans="1:29" ht="15">
      <c r="A4" s="360" t="s">
        <v>2406</v>
      </c>
      <c r="B4" s="361"/>
      <c r="C4" s="3368" t="s">
        <v>2407</v>
      </c>
      <c r="D4" s="3369"/>
      <c r="E4" s="3370" t="s">
        <v>2408</v>
      </c>
      <c r="F4" s="3371"/>
      <c r="G4" s="3368" t="s">
        <v>2409</v>
      </c>
      <c r="H4" s="3369"/>
      <c r="I4" s="3368" t="s">
        <v>2410</v>
      </c>
      <c r="J4" s="3369"/>
      <c r="K4" s="566" t="s">
        <v>2411</v>
      </c>
      <c r="L4" s="2913"/>
      <c r="M4" s="2914"/>
      <c r="N4" s="2914"/>
      <c r="O4" s="2914"/>
      <c r="P4" s="3372" t="s">
        <v>2412</v>
      </c>
      <c r="Q4" s="3373"/>
      <c r="R4" s="3378" t="s">
        <v>2408</v>
      </c>
      <c r="S4" s="3379"/>
      <c r="T4" s="3378" t="s">
        <v>2409</v>
      </c>
      <c r="U4" s="3379"/>
      <c r="V4" s="3384" t="s">
        <v>2410</v>
      </c>
      <c r="W4" s="3384"/>
      <c r="X4" s="1508"/>
      <c r="Y4" s="3378" t="s">
        <v>2412</v>
      </c>
      <c r="Z4" s="3379"/>
      <c r="AA4" s="3365" t="s">
        <v>2408</v>
      </c>
      <c r="AB4" s="3366" t="s">
        <v>2409</v>
      </c>
      <c r="AC4" s="3365" t="s">
        <v>2410</v>
      </c>
    </row>
    <row r="5" spans="1:29" ht="15">
      <c r="A5" s="363"/>
      <c r="B5" s="364"/>
      <c r="C5" s="3498" t="s">
        <v>2303</v>
      </c>
      <c r="D5" s="3388"/>
      <c r="E5" s="3499" t="s">
        <v>2304</v>
      </c>
      <c r="F5" s="3396"/>
      <c r="G5" s="3498" t="s">
        <v>2305</v>
      </c>
      <c r="H5" s="3388"/>
      <c r="I5" s="3498" t="s">
        <v>2306</v>
      </c>
      <c r="J5" s="3388"/>
      <c r="K5" s="566"/>
      <c r="L5" s="2913"/>
      <c r="M5" s="2914"/>
      <c r="N5" s="2914"/>
      <c r="O5" s="2914"/>
      <c r="P5" s="3374"/>
      <c r="Q5" s="3375"/>
      <c r="R5" s="3380"/>
      <c r="S5" s="3381"/>
      <c r="T5" s="3380"/>
      <c r="U5" s="3381"/>
      <c r="V5" s="3384"/>
      <c r="W5" s="3384"/>
      <c r="X5" s="1508"/>
      <c r="Y5" s="3380"/>
      <c r="Z5" s="3381"/>
      <c r="AA5" s="3366"/>
      <c r="AB5" s="3366"/>
      <c r="AC5" s="3366"/>
    </row>
    <row r="6" spans="1:29" ht="15.75" thickBot="1">
      <c r="A6" s="365"/>
      <c r="B6" s="366"/>
      <c r="C6" s="3551" t="s">
        <v>2557</v>
      </c>
      <c r="D6" s="3552"/>
      <c r="E6" s="3553" t="s">
        <v>2557</v>
      </c>
      <c r="F6" s="3554"/>
      <c r="G6" s="3551" t="s">
        <v>2557</v>
      </c>
      <c r="H6" s="3552"/>
      <c r="I6" s="3551" t="s">
        <v>2557</v>
      </c>
      <c r="J6" s="3552"/>
      <c r="K6" s="566" t="s">
        <v>2308</v>
      </c>
      <c r="L6" s="2913"/>
      <c r="M6" s="2914"/>
      <c r="N6" s="2914"/>
      <c r="O6" s="2914"/>
      <c r="P6" s="3376"/>
      <c r="Q6" s="3377"/>
      <c r="R6" s="3380"/>
      <c r="S6" s="3381"/>
      <c r="T6" s="3382"/>
      <c r="U6" s="3383"/>
      <c r="V6" s="3384"/>
      <c r="W6" s="3384"/>
      <c r="X6" s="1508"/>
      <c r="Y6" s="3382"/>
      <c r="Z6" s="3383"/>
      <c r="AA6" s="3367"/>
      <c r="AB6" s="3367"/>
      <c r="AC6" s="3367"/>
    </row>
    <row r="7" spans="1:29" s="113" customFormat="1" ht="15.75" thickBot="1">
      <c r="A7" s="367" t="s">
        <v>2309</v>
      </c>
      <c r="B7" s="368"/>
      <c r="C7" s="369">
        <f>'数据-取费表'!B2</f>
        <v>44617</v>
      </c>
      <c r="D7" s="370">
        <v>100</v>
      </c>
      <c r="E7" s="371"/>
      <c r="F7" s="372">
        <f>SUMIF(65:65,YEAR(E7)&amp;"-"&amp;INT((MONTH(E7)+2)/3),66:66)</f>
        <v>0</v>
      </c>
      <c r="G7" s="2129"/>
      <c r="H7" s="370">
        <f>SUMIF(65:65,YEAR(G7)&amp;"-"&amp;INT((MONTH(G7)+2)/3),66:66)</f>
        <v>0</v>
      </c>
      <c r="I7" s="2129"/>
      <c r="J7" s="370">
        <f>SUMIF(65:65,YEAR(I7)&amp;"-"&amp;INT((MONTH(I7)+2)/3),66:66)</f>
        <v>0</v>
      </c>
      <c r="K7" s="567"/>
      <c r="L7" s="2915"/>
      <c r="M7" s="2916"/>
      <c r="N7" s="2916"/>
      <c r="O7" s="2916"/>
      <c r="P7" s="3389" t="s">
        <v>2310</v>
      </c>
      <c r="Q7" s="3391"/>
      <c r="R7" s="709" t="s">
        <v>17</v>
      </c>
      <c r="S7" s="710">
        <f t="shared" ref="S7:S15" si="0">F7</f>
        <v>0</v>
      </c>
      <c r="T7" s="709" t="s">
        <v>17</v>
      </c>
      <c r="U7" s="710">
        <f t="shared" ref="U7:U15" si="1">H7</f>
        <v>0</v>
      </c>
      <c r="V7" s="709" t="s">
        <v>17</v>
      </c>
      <c r="W7" s="710">
        <f t="shared" ref="W7:W15" si="2">J7</f>
        <v>0</v>
      </c>
      <c r="X7" s="711"/>
      <c r="Y7" s="3389" t="s">
        <v>2310</v>
      </c>
      <c r="Z7" s="3390"/>
      <c r="AA7" s="712" t="e">
        <f>D7/F7</f>
        <v>#DIV/0!</v>
      </c>
      <c r="AB7" s="712" t="e">
        <f>D7/H7</f>
        <v>#DIV/0!</v>
      </c>
      <c r="AC7" s="712" t="e">
        <f>D7/J7</f>
        <v>#DIV/0!</v>
      </c>
    </row>
    <row r="8" spans="1:29" s="113" customFormat="1" ht="15.75" thickBot="1">
      <c r="A8" s="367" t="s">
        <v>2311</v>
      </c>
      <c r="B8" s="368"/>
      <c r="C8" s="373" t="s">
        <v>2312</v>
      </c>
      <c r="D8" s="370">
        <v>100</v>
      </c>
      <c r="E8" s="373"/>
      <c r="F8" s="372">
        <f>SUMIF(68:68,E8,69:69)-SUMIF(68:68,C8,69:69)+100</f>
        <v>0</v>
      </c>
      <c r="G8" s="373"/>
      <c r="H8" s="370">
        <f>SUMIF(68:68,G8,69:69)-SUMIF(68:68,C8,69:69)+100</f>
        <v>0</v>
      </c>
      <c r="I8" s="373"/>
      <c r="J8" s="370">
        <f>SUMIF(68:68,I8,69:69)-SUMIF(68:68,C8,69:69)+100</f>
        <v>0</v>
      </c>
      <c r="K8" s="567"/>
      <c r="L8" s="2915"/>
      <c r="M8" s="2916"/>
      <c r="N8" s="2916"/>
      <c r="O8" s="2916"/>
      <c r="P8" s="3389" t="s">
        <v>2313</v>
      </c>
      <c r="Q8" s="3390"/>
      <c r="R8" s="709" t="s">
        <v>17</v>
      </c>
      <c r="S8" s="710">
        <f t="shared" si="0"/>
        <v>0</v>
      </c>
      <c r="T8" s="709" t="s">
        <v>17</v>
      </c>
      <c r="U8" s="710">
        <f t="shared" si="1"/>
        <v>0</v>
      </c>
      <c r="V8" s="709" t="s">
        <v>17</v>
      </c>
      <c r="W8" s="710">
        <f t="shared" si="2"/>
        <v>0</v>
      </c>
      <c r="X8" s="711"/>
      <c r="Y8" s="3389" t="s">
        <v>2313</v>
      </c>
      <c r="Z8" s="3390"/>
      <c r="AA8" s="712" t="e">
        <f t="shared" ref="AA8:AA40" si="3">D8/F8</f>
        <v>#DIV/0!</v>
      </c>
      <c r="AB8" s="712" t="e">
        <f t="shared" ref="AB8:AB40" si="4">D8/H8</f>
        <v>#DIV/0!</v>
      </c>
      <c r="AC8" s="712" t="e">
        <f t="shared" ref="AC8:AC40" si="5">D8/J8</f>
        <v>#DIV/0!</v>
      </c>
    </row>
    <row r="9" spans="1:29" s="113" customFormat="1">
      <c r="A9" s="374" t="s">
        <v>2314</v>
      </c>
      <c r="B9" s="67" t="s">
        <v>2315</v>
      </c>
      <c r="C9" s="2132"/>
      <c r="D9" s="131">
        <v>100</v>
      </c>
      <c r="E9" s="2132"/>
      <c r="F9" s="131">
        <f>SUMIF(70:70,E9,71:71)-SUMIF(70:70,C9,71:71)+100</f>
        <v>100</v>
      </c>
      <c r="G9" s="2132"/>
      <c r="H9" s="131">
        <f>SUMIF(70:70,G9,71:71)-SUMIF(70:70,C9,71:71)+100</f>
        <v>100</v>
      </c>
      <c r="I9" s="2132"/>
      <c r="J9" s="131">
        <f>SUMIF(70:70,I9,71:71)-SUMIF(70:70,C9,71:71)+100</f>
        <v>100</v>
      </c>
      <c r="K9" s="567"/>
      <c r="L9" s="2915"/>
      <c r="M9" s="2916"/>
      <c r="N9" s="2916"/>
      <c r="O9" s="2970"/>
      <c r="P9" s="3355" t="s">
        <v>2316</v>
      </c>
      <c r="Q9" s="1496" t="str">
        <f t="shared" ref="Q9:Q15" si="6">B9</f>
        <v>用途</v>
      </c>
      <c r="R9" s="709" t="s">
        <v>17</v>
      </c>
      <c r="S9" s="710">
        <f t="shared" si="0"/>
        <v>100</v>
      </c>
      <c r="T9" s="709" t="s">
        <v>17</v>
      </c>
      <c r="U9" s="710">
        <f t="shared" si="1"/>
        <v>100</v>
      </c>
      <c r="V9" s="709" t="s">
        <v>17</v>
      </c>
      <c r="W9" s="710">
        <f t="shared" si="2"/>
        <v>100</v>
      </c>
      <c r="X9" s="711"/>
      <c r="Y9" s="3364" t="s">
        <v>2317</v>
      </c>
      <c r="Z9" s="55" t="str">
        <f t="shared" ref="Z9:Z15" si="7">Q9</f>
        <v>用途</v>
      </c>
      <c r="AA9" s="712">
        <f t="shared" si="3"/>
        <v>1</v>
      </c>
      <c r="AB9" s="712">
        <f t="shared" si="4"/>
        <v>1</v>
      </c>
      <c r="AC9" s="712">
        <f t="shared" si="5"/>
        <v>1</v>
      </c>
    </row>
    <row r="10" spans="1:29" s="385" customFormat="1" ht="27">
      <c r="A10" s="379"/>
      <c r="B10" s="380" t="s">
        <v>2318</v>
      </c>
      <c r="C10" s="390"/>
      <c r="D10" s="132">
        <v>100</v>
      </c>
      <c r="E10" s="390"/>
      <c r="F10" s="132">
        <f>ROUND(100/'数据-取费表'!G16,0)</f>
        <v>101</v>
      </c>
      <c r="G10" s="390"/>
      <c r="H10" s="132">
        <f>ROUND(100/'数据-取费表'!G16,0)</f>
        <v>101</v>
      </c>
      <c r="I10" s="390"/>
      <c r="J10" s="132">
        <f>ROUND(100/'数据-取费表'!G16,0)</f>
        <v>101</v>
      </c>
      <c r="K10" s="627"/>
      <c r="L10" s="2917"/>
      <c r="M10" s="2918"/>
      <c r="N10" s="2918"/>
      <c r="O10" s="2971"/>
      <c r="P10" s="3355"/>
      <c r="Q10" s="1496" t="str">
        <f t="shared" si="6"/>
        <v>土地使用年限（年）</v>
      </c>
      <c r="R10" s="709" t="s">
        <v>17</v>
      </c>
      <c r="S10" s="710">
        <f t="shared" si="0"/>
        <v>101</v>
      </c>
      <c r="T10" s="709" t="s">
        <v>17</v>
      </c>
      <c r="U10" s="710">
        <f t="shared" si="1"/>
        <v>101</v>
      </c>
      <c r="V10" s="709" t="s">
        <v>17</v>
      </c>
      <c r="W10" s="710">
        <f t="shared" si="2"/>
        <v>101</v>
      </c>
      <c r="X10" s="711"/>
      <c r="Y10" s="3364"/>
      <c r="Z10" s="55" t="str">
        <f t="shared" si="7"/>
        <v>土地使用年限（年）</v>
      </c>
      <c r="AA10" s="712">
        <f t="shared" si="3"/>
        <v>0.99009900990099009</v>
      </c>
      <c r="AB10" s="712">
        <f t="shared" si="4"/>
        <v>0.99009900990099009</v>
      </c>
      <c r="AC10" s="712">
        <f t="shared" si="5"/>
        <v>0.99009900990099009</v>
      </c>
    </row>
    <row r="11" spans="1:29" ht="15">
      <c r="A11" s="386"/>
      <c r="B11" s="380" t="s">
        <v>2319</v>
      </c>
      <c r="C11" s="387"/>
      <c r="D11" s="132">
        <v>100</v>
      </c>
      <c r="E11" s="387"/>
      <c r="F11" s="132" t="e">
        <f>LOOKUP(E11,75:75,76:76)-LOOKUP(C11,75:75,76:76)+100</f>
        <v>#N/A</v>
      </c>
      <c r="G11" s="388"/>
      <c r="H11" s="132" t="e">
        <f>LOOKUP(G11,75:75,76:76)-LOOKUP(C11,75:75,76:76)+100</f>
        <v>#N/A</v>
      </c>
      <c r="I11" s="387"/>
      <c r="J11" s="132" t="e">
        <f>LOOKUP(I11,75:75,76:76)-LOOKUP(C11,75:75,76:76)+100</f>
        <v>#N/A</v>
      </c>
      <c r="K11" s="628"/>
      <c r="L11" s="2919"/>
      <c r="M11" s="2914"/>
      <c r="N11" s="2914"/>
      <c r="O11" s="2972"/>
      <c r="P11" s="3355"/>
      <c r="Q11" s="1496" t="str">
        <f t="shared" si="6"/>
        <v>容积率</v>
      </c>
      <c r="R11" s="709" t="s">
        <v>17</v>
      </c>
      <c r="S11" s="710" t="e">
        <f t="shared" si="0"/>
        <v>#N/A</v>
      </c>
      <c r="T11" s="709" t="s">
        <v>17</v>
      </c>
      <c r="U11" s="710" t="e">
        <f t="shared" si="1"/>
        <v>#N/A</v>
      </c>
      <c r="V11" s="709" t="s">
        <v>17</v>
      </c>
      <c r="W11" s="710" t="e">
        <f t="shared" si="2"/>
        <v>#N/A</v>
      </c>
      <c r="X11" s="711"/>
      <c r="Y11" s="3364"/>
      <c r="Z11" s="55" t="str">
        <f t="shared" si="7"/>
        <v>容积率</v>
      </c>
      <c r="AA11" s="712" t="e">
        <f t="shared" si="3"/>
        <v>#N/A</v>
      </c>
      <c r="AB11" s="712" t="e">
        <f t="shared" si="4"/>
        <v>#N/A</v>
      </c>
      <c r="AC11" s="712" t="e">
        <f t="shared" si="5"/>
        <v>#N/A</v>
      </c>
    </row>
    <row r="12" spans="1:29" s="113" customFormat="1" ht="15">
      <c r="A12" s="389"/>
      <c r="B12" s="2048">
        <v>111</v>
      </c>
      <c r="C12" s="390"/>
      <c r="D12" s="391">
        <v>100</v>
      </c>
      <c r="E12" s="505"/>
      <c r="F12" s="132">
        <f>SUMIF(77:77,E12,78:78)-SUMIF(77:77,C12,78:78)+100</f>
        <v>100</v>
      </c>
      <c r="G12" s="629"/>
      <c r="H12" s="132">
        <f>SUMIF(77:77,G12,78:78)-SUMIF(77:77,C12,78:78)+100</f>
        <v>100</v>
      </c>
      <c r="I12" s="505"/>
      <c r="J12" s="132">
        <f>SUMIF(77:77,I12,78:78)-SUMIF(77:77,C12,78:78)+100</f>
        <v>100</v>
      </c>
      <c r="K12" s="627"/>
      <c r="L12" s="2915"/>
      <c r="M12" s="2916"/>
      <c r="N12" s="2916"/>
      <c r="O12" s="2970"/>
      <c r="P12" s="3355"/>
      <c r="Q12" s="1496">
        <f t="shared" si="6"/>
        <v>111</v>
      </c>
      <c r="R12" s="709" t="s">
        <v>17</v>
      </c>
      <c r="S12" s="710">
        <f t="shared" si="0"/>
        <v>100</v>
      </c>
      <c r="T12" s="709" t="s">
        <v>17</v>
      </c>
      <c r="U12" s="710">
        <f t="shared" si="1"/>
        <v>100</v>
      </c>
      <c r="V12" s="709" t="s">
        <v>17</v>
      </c>
      <c r="W12" s="710">
        <f t="shared" si="2"/>
        <v>100</v>
      </c>
      <c r="X12" s="711"/>
      <c r="Y12" s="3364"/>
      <c r="Z12" s="55">
        <f t="shared" si="7"/>
        <v>111</v>
      </c>
      <c r="AA12" s="712">
        <f>D12/F12</f>
        <v>1</v>
      </c>
      <c r="AB12" s="712">
        <f>D12/H12</f>
        <v>1</v>
      </c>
      <c r="AC12" s="712">
        <f>D12/J12</f>
        <v>1</v>
      </c>
    </row>
    <row r="13" spans="1:29" ht="15">
      <c r="A13" s="386"/>
      <c r="B13" s="2048">
        <v>111</v>
      </c>
      <c r="C13" s="392"/>
      <c r="D13" s="393">
        <v>100</v>
      </c>
      <c r="E13" s="505"/>
      <c r="F13" s="132">
        <f>SUMIF(79:79,E13,80:80)-SUMIF(79:79,C13,80:80)+100</f>
        <v>100</v>
      </c>
      <c r="G13" s="629"/>
      <c r="H13" s="393">
        <f>SUMIF(79:79,G13,80:80)-SUMIF(79:79,C13,80:80)+100</f>
        <v>100</v>
      </c>
      <c r="I13" s="505"/>
      <c r="J13" s="393">
        <f>SUMIF(79:79,I13,80:80)-SUMIF(79:79,C13,80:80)+100</f>
        <v>100</v>
      </c>
      <c r="K13" s="627"/>
      <c r="L13" s="2920"/>
      <c r="M13" s="2914"/>
      <c r="N13" s="2914"/>
      <c r="O13" s="2972"/>
      <c r="P13" s="3355"/>
      <c r="Q13" s="1496">
        <f t="shared" si="6"/>
        <v>111</v>
      </c>
      <c r="R13" s="709" t="s">
        <v>17</v>
      </c>
      <c r="S13" s="710">
        <f t="shared" si="0"/>
        <v>100</v>
      </c>
      <c r="T13" s="709" t="s">
        <v>17</v>
      </c>
      <c r="U13" s="710">
        <f t="shared" si="1"/>
        <v>100</v>
      </c>
      <c r="V13" s="709" t="s">
        <v>17</v>
      </c>
      <c r="W13" s="710">
        <f t="shared" si="2"/>
        <v>100</v>
      </c>
      <c r="X13" s="711"/>
      <c r="Y13" s="3364"/>
      <c r="Z13" s="55">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20"/>
      <c r="M14" s="2914"/>
      <c r="N14" s="2914"/>
      <c r="O14" s="2972"/>
      <c r="P14" s="3355"/>
      <c r="Q14" s="1496">
        <f t="shared" si="6"/>
        <v>111</v>
      </c>
      <c r="R14" s="709" t="s">
        <v>17</v>
      </c>
      <c r="S14" s="710">
        <f t="shared" si="0"/>
        <v>100</v>
      </c>
      <c r="T14" s="709" t="s">
        <v>17</v>
      </c>
      <c r="U14" s="710">
        <f t="shared" si="1"/>
        <v>100</v>
      </c>
      <c r="V14" s="709" t="s">
        <v>17</v>
      </c>
      <c r="W14" s="710">
        <f t="shared" si="2"/>
        <v>100</v>
      </c>
      <c r="X14" s="711"/>
      <c r="Y14" s="3364"/>
      <c r="Z14" s="55">
        <f t="shared" si="7"/>
        <v>111</v>
      </c>
      <c r="AA14" s="712">
        <f t="shared" si="3"/>
        <v>1</v>
      </c>
      <c r="AB14" s="712">
        <f t="shared" si="4"/>
        <v>1</v>
      </c>
      <c r="AC14" s="712">
        <f t="shared" si="5"/>
        <v>1</v>
      </c>
    </row>
    <row r="15" spans="1:29" ht="57">
      <c r="A15" s="398" t="s">
        <v>2320</v>
      </c>
      <c r="B15" s="584" t="s">
        <v>2558</v>
      </c>
      <c r="C15" s="212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20"/>
      <c r="M15" s="2914"/>
      <c r="N15" s="2914"/>
      <c r="O15" s="2972"/>
      <c r="P15" s="3360" t="s">
        <v>2321</v>
      </c>
      <c r="Q15" s="1505" t="str">
        <f t="shared" si="6"/>
        <v>产业集聚程度</v>
      </c>
      <c r="R15" s="713" t="s">
        <v>17</v>
      </c>
      <c r="S15" s="714">
        <f t="shared" si="0"/>
        <v>100</v>
      </c>
      <c r="T15" s="713" t="s">
        <v>17</v>
      </c>
      <c r="U15" s="714">
        <f t="shared" si="1"/>
        <v>100</v>
      </c>
      <c r="V15" s="713" t="s">
        <v>17</v>
      </c>
      <c r="W15" s="714">
        <f t="shared" si="2"/>
        <v>100</v>
      </c>
      <c r="X15" s="1508"/>
      <c r="Y15" s="3360" t="s">
        <v>2321</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20"/>
      <c r="M16" s="2914"/>
      <c r="N16" s="2914"/>
      <c r="O16" s="2972"/>
      <c r="P16" s="3361"/>
      <c r="Q16" s="1505"/>
      <c r="R16" s="713"/>
      <c r="S16" s="714"/>
      <c r="T16" s="713"/>
      <c r="U16" s="714"/>
      <c r="V16" s="713"/>
      <c r="W16" s="714"/>
      <c r="X16" s="1508"/>
      <c r="Y16" s="3361"/>
      <c r="Z16" s="1509"/>
      <c r="AA16" s="1506">
        <v>1</v>
      </c>
      <c r="AB16" s="1506">
        <v>1</v>
      </c>
      <c r="AC16" s="1506">
        <v>1</v>
      </c>
    </row>
    <row r="17" spans="1:29" ht="85.5">
      <c r="A17" s="386"/>
      <c r="B17" s="586" t="s">
        <v>2470</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20"/>
      <c r="M17" s="2914"/>
      <c r="N17" s="2914"/>
      <c r="O17" s="2972"/>
      <c r="P17" s="3361"/>
      <c r="Q17" s="1505" t="str">
        <f>B17</f>
        <v>交通便捷度</v>
      </c>
      <c r="R17" s="713" t="s">
        <v>17</v>
      </c>
      <c r="S17" s="714">
        <f>F17</f>
        <v>100</v>
      </c>
      <c r="T17" s="713" t="s">
        <v>17</v>
      </c>
      <c r="U17" s="714">
        <f>H17</f>
        <v>100</v>
      </c>
      <c r="V17" s="713" t="s">
        <v>17</v>
      </c>
      <c r="W17" s="714">
        <f>J17</f>
        <v>100</v>
      </c>
      <c r="X17" s="1508"/>
      <c r="Y17" s="3361"/>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20"/>
      <c r="M18" s="2914"/>
      <c r="N18" s="2914"/>
      <c r="O18" s="2972"/>
      <c r="P18" s="3361"/>
      <c r="Q18" s="1505"/>
      <c r="R18" s="713"/>
      <c r="S18" s="714"/>
      <c r="T18" s="713"/>
      <c r="U18" s="714"/>
      <c r="V18" s="713"/>
      <c r="W18" s="714"/>
      <c r="X18" s="1508"/>
      <c r="Y18" s="3361"/>
      <c r="Z18" s="1509"/>
      <c r="AA18" s="1506">
        <v>1</v>
      </c>
      <c r="AB18" s="1506">
        <v>1</v>
      </c>
      <c r="AC18" s="1506">
        <v>1</v>
      </c>
    </row>
    <row r="19" spans="1:29" ht="15">
      <c r="A19" s="386"/>
      <c r="B19" s="586" t="s">
        <v>2508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20"/>
      <c r="M19" s="2914"/>
      <c r="N19" s="2914"/>
      <c r="O19" s="2972"/>
      <c r="P19" s="3361"/>
      <c r="Q19" s="1505" t="str">
        <f t="shared" ref="Q19:Q33" si="8">B19</f>
        <v>区域土地利用方向</v>
      </c>
      <c r="R19" s="713" t="s">
        <v>17</v>
      </c>
      <c r="S19" s="714">
        <f>F19</f>
        <v>100</v>
      </c>
      <c r="T19" s="713" t="s">
        <v>17</v>
      </c>
      <c r="U19" s="714">
        <f>H19</f>
        <v>100</v>
      </c>
      <c r="V19" s="713" t="s">
        <v>17</v>
      </c>
      <c r="W19" s="714">
        <f>J19</f>
        <v>100</v>
      </c>
      <c r="X19" s="1508"/>
      <c r="Y19" s="3361"/>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20"/>
      <c r="M20" s="2914"/>
      <c r="N20" s="2914"/>
      <c r="O20" s="2972"/>
      <c r="P20" s="3361"/>
      <c r="Q20" s="1505"/>
      <c r="R20" s="713"/>
      <c r="S20" s="714"/>
      <c r="T20" s="713"/>
      <c r="U20" s="714"/>
      <c r="V20" s="713"/>
      <c r="W20" s="714"/>
      <c r="X20" s="1508"/>
      <c r="Y20" s="3361"/>
      <c r="Z20" s="1509"/>
      <c r="AA20" s="1506"/>
      <c r="AB20" s="1506"/>
      <c r="AC20" s="1506"/>
    </row>
    <row r="21" spans="1:29" ht="71.25">
      <c r="A21" s="363"/>
      <c r="B21" s="586" t="s">
        <v>2559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20"/>
      <c r="M21" s="2914"/>
      <c r="N21" s="2914"/>
      <c r="O21" s="2972"/>
      <c r="P21" s="3361"/>
      <c r="Q21" s="1505" t="str">
        <f t="shared" si="8"/>
        <v>环境状况</v>
      </c>
      <c r="R21" s="713" t="s">
        <v>17</v>
      </c>
      <c r="S21" s="714">
        <f>F21</f>
        <v>100</v>
      </c>
      <c r="T21" s="713" t="s">
        <v>17</v>
      </c>
      <c r="U21" s="714">
        <f>H21</f>
        <v>100</v>
      </c>
      <c r="V21" s="713" t="s">
        <v>17</v>
      </c>
      <c r="W21" s="714">
        <f>J21</f>
        <v>100</v>
      </c>
      <c r="X21" s="1508"/>
      <c r="Y21" s="3361"/>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20"/>
      <c r="M22" s="2914"/>
      <c r="N22" s="2914"/>
      <c r="O22" s="2972"/>
      <c r="P22" s="3361"/>
      <c r="Q22" s="1505"/>
      <c r="R22" s="713"/>
      <c r="S22" s="714"/>
      <c r="T22" s="713"/>
      <c r="U22" s="714"/>
      <c r="V22" s="713"/>
      <c r="W22" s="714"/>
      <c r="X22" s="1508"/>
      <c r="Y22" s="3361"/>
      <c r="Z22" s="1509"/>
      <c r="AA22" s="1506">
        <v>1</v>
      </c>
      <c r="AB22" s="1506">
        <v>1</v>
      </c>
      <c r="AC22" s="1506">
        <v>1</v>
      </c>
    </row>
    <row r="23" spans="1:29" s="113" customFormat="1" ht="42.75">
      <c r="A23" s="604"/>
      <c r="B23" s="588" t="s">
        <v>2415</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15"/>
      <c r="M23" s="2916"/>
      <c r="N23" s="2916"/>
      <c r="O23" s="2970"/>
      <c r="P23" s="3361"/>
      <c r="Q23" s="1496" t="str">
        <f t="shared" si="8"/>
        <v>公共配套设施</v>
      </c>
      <c r="R23" s="709" t="s">
        <v>17</v>
      </c>
      <c r="S23" s="710">
        <f>F23</f>
        <v>100</v>
      </c>
      <c r="T23" s="709" t="s">
        <v>17</v>
      </c>
      <c r="U23" s="710">
        <f>H23</f>
        <v>100</v>
      </c>
      <c r="V23" s="709" t="s">
        <v>17</v>
      </c>
      <c r="W23" s="710">
        <f>J23</f>
        <v>100</v>
      </c>
      <c r="X23" s="711"/>
      <c r="Y23" s="3361"/>
      <c r="Z23" s="55" t="str">
        <f>Q23</f>
        <v>公共配套设施</v>
      </c>
      <c r="AA23" s="1506">
        <f>D23/F23</f>
        <v>1</v>
      </c>
      <c r="AB23" s="1506">
        <f>D23/H23</f>
        <v>1</v>
      </c>
      <c r="AC23" s="1506">
        <f>D23/J23</f>
        <v>1</v>
      </c>
    </row>
    <row r="24" spans="1:29" s="113" customFormat="1" ht="15">
      <c r="A24" s="604"/>
      <c r="B24" s="587"/>
      <c r="C24" s="2133"/>
      <c r="D24" s="406"/>
      <c r="E24" s="2059"/>
      <c r="F24" s="406"/>
      <c r="G24" s="2059"/>
      <c r="H24" s="406"/>
      <c r="I24" s="405"/>
      <c r="J24" s="406"/>
      <c r="K24" s="627"/>
      <c r="L24" s="2915"/>
      <c r="M24" s="2916"/>
      <c r="N24" s="2916"/>
      <c r="O24" s="2970"/>
      <c r="P24" s="3361"/>
      <c r="Q24" s="1496"/>
      <c r="R24" s="709"/>
      <c r="S24" s="710"/>
      <c r="T24" s="709"/>
      <c r="U24" s="710"/>
      <c r="V24" s="709"/>
      <c r="W24" s="710"/>
      <c r="X24" s="711"/>
      <c r="Y24" s="3361"/>
      <c r="Z24" s="55"/>
      <c r="AA24" s="712">
        <v>1</v>
      </c>
      <c r="AB24" s="712">
        <v>1</v>
      </c>
      <c r="AC24" s="712">
        <v>1</v>
      </c>
    </row>
    <row r="25" spans="1:29" s="113" customFormat="1" ht="28.5">
      <c r="A25" s="604"/>
      <c r="B25" s="588" t="s">
        <v>2416</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15"/>
      <c r="M25" s="2916"/>
      <c r="N25" s="2916"/>
      <c r="O25" s="2970"/>
      <c r="P25" s="3361"/>
      <c r="Q25" s="1496" t="str">
        <f t="shared" ref="Q25" si="9">B25</f>
        <v>基础设施水平</v>
      </c>
      <c r="R25" s="709" t="s">
        <v>17</v>
      </c>
      <c r="S25" s="710">
        <f>F25</f>
        <v>100</v>
      </c>
      <c r="T25" s="709" t="s">
        <v>17</v>
      </c>
      <c r="U25" s="710">
        <f>H25</f>
        <v>100</v>
      </c>
      <c r="V25" s="709" t="s">
        <v>17</v>
      </c>
      <c r="W25" s="710">
        <f>J25</f>
        <v>100</v>
      </c>
      <c r="X25" s="711"/>
      <c r="Y25" s="3361"/>
      <c r="Z25" s="55" t="str">
        <f>Q25</f>
        <v>基础设施水平</v>
      </c>
      <c r="AA25" s="1506">
        <f>D25/F25</f>
        <v>1</v>
      </c>
      <c r="AB25" s="1506">
        <f>D25/H25</f>
        <v>1</v>
      </c>
      <c r="AC25" s="1506">
        <f>D25/J25</f>
        <v>1</v>
      </c>
    </row>
    <row r="26" spans="1:29" s="113" customFormat="1" ht="15">
      <c r="A26" s="604"/>
      <c r="B26" s="587"/>
      <c r="C26" s="2133"/>
      <c r="D26" s="406"/>
      <c r="E26" s="2134"/>
      <c r="F26" s="406"/>
      <c r="G26" s="2134"/>
      <c r="H26" s="406"/>
      <c r="I26" s="2134"/>
      <c r="J26" s="406"/>
      <c r="K26" s="627"/>
      <c r="L26" s="2915"/>
      <c r="M26" s="2916"/>
      <c r="N26" s="2916"/>
      <c r="O26" s="2970"/>
      <c r="P26" s="3361"/>
      <c r="Q26" s="1496"/>
      <c r="R26" s="709"/>
      <c r="S26" s="710"/>
      <c r="T26" s="709"/>
      <c r="U26" s="710"/>
      <c r="V26" s="709"/>
      <c r="W26" s="710"/>
      <c r="X26" s="711"/>
      <c r="Y26" s="3361"/>
      <c r="Z26" s="55"/>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c r="L27" s="2920"/>
      <c r="M27" s="2914"/>
      <c r="N27" s="2914"/>
      <c r="O27" s="2972"/>
      <c r="P27" s="3361"/>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361"/>
      <c r="Z27" s="1509" t="str">
        <f t="shared" ref="Z27:Z40" si="13">Q27</f>
        <v>临街状况</v>
      </c>
      <c r="AA27" s="1506">
        <f t="shared" si="3"/>
        <v>1</v>
      </c>
      <c r="AB27" s="1506">
        <f t="shared" si="4"/>
        <v>1</v>
      </c>
      <c r="AC27" s="1506">
        <f t="shared" si="5"/>
        <v>1</v>
      </c>
    </row>
    <row r="28" spans="1:29" ht="27">
      <c r="A28" s="386"/>
      <c r="B28" s="588" t="s">
        <v>2452</v>
      </c>
      <c r="C28" s="214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20"/>
      <c r="M28" s="2914"/>
      <c r="N28" s="2914"/>
      <c r="O28" s="2972"/>
      <c r="P28" s="3361"/>
      <c r="Q28" s="1505" t="str">
        <f t="shared" si="8"/>
        <v>毗邻道路的类型与等级</v>
      </c>
      <c r="R28" s="713" t="s">
        <v>17</v>
      </c>
      <c r="S28" s="714">
        <f t="shared" si="10"/>
        <v>100</v>
      </c>
      <c r="T28" s="713" t="s">
        <v>17</v>
      </c>
      <c r="U28" s="714">
        <f t="shared" si="11"/>
        <v>100</v>
      </c>
      <c r="V28" s="713" t="s">
        <v>17</v>
      </c>
      <c r="W28" s="714">
        <f t="shared" si="12"/>
        <v>100</v>
      </c>
      <c r="X28" s="1508"/>
      <c r="Y28" s="3361"/>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20"/>
      <c r="M29" s="2914"/>
      <c r="N29" s="2914"/>
      <c r="O29" s="2972"/>
      <c r="P29" s="3361"/>
      <c r="Q29" s="1505"/>
      <c r="R29" s="713"/>
      <c r="S29" s="714"/>
      <c r="T29" s="713"/>
      <c r="U29" s="714"/>
      <c r="V29" s="713"/>
      <c r="W29" s="714"/>
      <c r="X29" s="1508"/>
      <c r="Y29" s="3361"/>
      <c r="Z29" s="1509"/>
      <c r="AA29" s="1506">
        <v>1</v>
      </c>
      <c r="AB29" s="1506">
        <v>1</v>
      </c>
      <c r="AC29" s="1506">
        <v>1</v>
      </c>
    </row>
    <row r="30" spans="1:29" ht="15">
      <c r="A30" s="386"/>
      <c r="B30" s="609" t="s">
        <v>2510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20"/>
      <c r="M30" s="2914"/>
      <c r="N30" s="2914"/>
      <c r="O30" s="2972"/>
      <c r="P30" s="3361"/>
      <c r="Q30" s="1505" t="str">
        <f t="shared" si="8"/>
        <v>土地级别</v>
      </c>
      <c r="R30" s="713" t="s">
        <v>17</v>
      </c>
      <c r="S30" s="714">
        <f t="shared" si="10"/>
        <v>100</v>
      </c>
      <c r="T30" s="713" t="s">
        <v>17</v>
      </c>
      <c r="U30" s="714">
        <f t="shared" si="11"/>
        <v>100</v>
      </c>
      <c r="V30" s="713" t="s">
        <v>17</v>
      </c>
      <c r="W30" s="714">
        <f t="shared" si="12"/>
        <v>100</v>
      </c>
      <c r="X30" s="1508"/>
      <c r="Y30" s="3361"/>
      <c r="Z30" s="1509" t="str">
        <f t="shared" si="13"/>
        <v>土地级别</v>
      </c>
      <c r="AA30" s="1506">
        <f t="shared" si="3"/>
        <v>1</v>
      </c>
      <c r="AB30" s="1506">
        <f t="shared" si="4"/>
        <v>1</v>
      </c>
      <c r="AC30" s="1506">
        <f t="shared" si="5"/>
        <v>1</v>
      </c>
    </row>
    <row r="31" spans="1:29" ht="15">
      <c r="A31" s="363"/>
      <c r="B31" s="2121">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20"/>
      <c r="M31" s="2914"/>
      <c r="N31" s="2914"/>
      <c r="O31" s="2972"/>
      <c r="P31" s="3361"/>
      <c r="Q31" s="1505">
        <f t="shared" si="8"/>
        <v>111</v>
      </c>
      <c r="R31" s="713" t="s">
        <v>17</v>
      </c>
      <c r="S31" s="714">
        <f t="shared" si="10"/>
        <v>100</v>
      </c>
      <c r="T31" s="713" t="s">
        <v>17</v>
      </c>
      <c r="U31" s="714">
        <f t="shared" si="11"/>
        <v>100</v>
      </c>
      <c r="V31" s="713" t="s">
        <v>17</v>
      </c>
      <c r="W31" s="714">
        <f t="shared" si="12"/>
        <v>100</v>
      </c>
      <c r="X31" s="1508"/>
      <c r="Y31" s="3361"/>
      <c r="Z31" s="1509">
        <f t="shared" si="13"/>
        <v>111</v>
      </c>
      <c r="AA31" s="1506">
        <f t="shared" si="3"/>
        <v>1</v>
      </c>
      <c r="AB31" s="1506">
        <f t="shared" si="4"/>
        <v>1</v>
      </c>
      <c r="AC31" s="1506">
        <f t="shared" si="5"/>
        <v>1</v>
      </c>
    </row>
    <row r="32" spans="1:29" ht="15">
      <c r="A32" s="630"/>
      <c r="B32" s="214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20"/>
      <c r="M32" s="2914"/>
      <c r="N32" s="2914"/>
      <c r="O32" s="2972"/>
      <c r="P32" s="3362" t="s">
        <v>2326</v>
      </c>
      <c r="Q32" s="1505">
        <f t="shared" si="8"/>
        <v>111</v>
      </c>
      <c r="R32" s="713" t="s">
        <v>17</v>
      </c>
      <c r="S32" s="714">
        <f t="shared" si="10"/>
        <v>100</v>
      </c>
      <c r="T32" s="713" t="s">
        <v>17</v>
      </c>
      <c r="U32" s="714">
        <f t="shared" si="11"/>
        <v>100</v>
      </c>
      <c r="V32" s="713" t="s">
        <v>17</v>
      </c>
      <c r="W32" s="714">
        <f t="shared" si="12"/>
        <v>100</v>
      </c>
      <c r="X32" s="1508"/>
      <c r="Y32" s="3363" t="s">
        <v>2326</v>
      </c>
      <c r="Z32" s="1509">
        <f t="shared" si="13"/>
        <v>111</v>
      </c>
      <c r="AA32" s="1506">
        <f t="shared" si="3"/>
        <v>1</v>
      </c>
      <c r="AB32" s="1506">
        <f t="shared" si="4"/>
        <v>1</v>
      </c>
      <c r="AC32" s="1506">
        <f t="shared" si="5"/>
        <v>1</v>
      </c>
    </row>
    <row r="33" spans="1:31" s="429" customFormat="1" ht="15.75" thickBot="1">
      <c r="A33" s="631"/>
      <c r="B33" s="2148">
        <v>111</v>
      </c>
      <c r="C33" s="633"/>
      <c r="D33" s="133">
        <v>100</v>
      </c>
      <c r="E33" s="656"/>
      <c r="F33" s="396">
        <f>SUMIF(105:105,E33,106:106)-SUMIF(105:105,C33,106:106)+100</f>
        <v>100</v>
      </c>
      <c r="G33" s="656"/>
      <c r="H33" s="396">
        <f>SUMIF(105:105,G33,106:106)-SUMIF(105:105,C33,106:106)+100</f>
        <v>100</v>
      </c>
      <c r="I33" s="633"/>
      <c r="J33" s="396">
        <f>SUMIF(105:105,I33,106:106)-SUMIF(105:105,C33,106:106)+100</f>
        <v>100</v>
      </c>
      <c r="K33" s="569"/>
      <c r="L33" s="2919"/>
      <c r="M33" s="2921"/>
      <c r="N33" s="2921"/>
      <c r="O33" s="2973"/>
      <c r="P33" s="3363"/>
      <c r="Q33" s="1505">
        <f t="shared" si="8"/>
        <v>111</v>
      </c>
      <c r="R33" s="716" t="s">
        <v>17</v>
      </c>
      <c r="S33" s="717">
        <f t="shared" si="10"/>
        <v>100</v>
      </c>
      <c r="T33" s="716" t="s">
        <v>17</v>
      </c>
      <c r="U33" s="717">
        <f t="shared" si="11"/>
        <v>100</v>
      </c>
      <c r="V33" s="716" t="s">
        <v>17</v>
      </c>
      <c r="W33" s="717">
        <f t="shared" si="12"/>
        <v>100</v>
      </c>
      <c r="X33" s="718"/>
      <c r="Y33" s="3363"/>
      <c r="Z33" s="719">
        <f t="shared" si="13"/>
        <v>111</v>
      </c>
      <c r="AA33" s="1506">
        <f t="shared" si="3"/>
        <v>1</v>
      </c>
      <c r="AB33" s="1506">
        <f t="shared" si="4"/>
        <v>1</v>
      </c>
      <c r="AC33" s="1506">
        <f t="shared" si="5"/>
        <v>1</v>
      </c>
    </row>
    <row r="34" spans="1:31" ht="15">
      <c r="A34" s="398" t="s">
        <v>2324</v>
      </c>
      <c r="B34" s="414" t="s">
        <v>2511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20"/>
      <c r="M34" s="2914"/>
      <c r="N34" s="2914"/>
      <c r="O34" s="2972"/>
      <c r="P34" s="3363"/>
      <c r="Q34" s="1505" t="str">
        <f>B34</f>
        <v>宗地面积</v>
      </c>
      <c r="R34" s="713" t="s">
        <v>17</v>
      </c>
      <c r="S34" s="714" t="e">
        <f t="shared" si="10"/>
        <v>#N/A</v>
      </c>
      <c r="T34" s="713" t="s">
        <v>17</v>
      </c>
      <c r="U34" s="714" t="e">
        <f t="shared" si="11"/>
        <v>#N/A</v>
      </c>
      <c r="V34" s="713" t="s">
        <v>17</v>
      </c>
      <c r="W34" s="714" t="e">
        <f t="shared" si="12"/>
        <v>#N/A</v>
      </c>
      <c r="X34" s="1508"/>
      <c r="Y34" s="3363"/>
      <c r="Z34" s="1509" t="str">
        <f t="shared" si="13"/>
        <v>宗地面积</v>
      </c>
      <c r="AA34" s="1506" t="e">
        <f t="shared" si="3"/>
        <v>#N/A</v>
      </c>
      <c r="AB34" s="1506" t="e">
        <f t="shared" si="4"/>
        <v>#N/A</v>
      </c>
      <c r="AC34" s="1506" t="e">
        <f t="shared" si="5"/>
        <v>#N/A</v>
      </c>
    </row>
    <row r="35" spans="1:31" ht="15">
      <c r="A35" s="430"/>
      <c r="B35" s="380" t="s">
        <v>2512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20"/>
      <c r="M35" s="2914"/>
      <c r="N35" s="2914"/>
      <c r="O35" s="2972"/>
      <c r="P35" s="3363"/>
      <c r="Q35" s="1505" t="str">
        <f t="shared" ref="Q35:Q40" si="14">B35</f>
        <v>宗地形状</v>
      </c>
      <c r="R35" s="713" t="s">
        <v>17</v>
      </c>
      <c r="S35" s="714">
        <f t="shared" si="10"/>
        <v>100</v>
      </c>
      <c r="T35" s="713" t="s">
        <v>17</v>
      </c>
      <c r="U35" s="714">
        <f t="shared" si="11"/>
        <v>100</v>
      </c>
      <c r="V35" s="713" t="s">
        <v>17</v>
      </c>
      <c r="W35" s="714">
        <f t="shared" si="12"/>
        <v>100</v>
      </c>
      <c r="X35" s="1508"/>
      <c r="Y35" s="3363"/>
      <c r="Z35" s="1509" t="str">
        <f t="shared" si="13"/>
        <v>宗地形状</v>
      </c>
      <c r="AA35" s="1506">
        <f t="shared" si="3"/>
        <v>1</v>
      </c>
      <c r="AB35" s="1506">
        <f t="shared" si="4"/>
        <v>1</v>
      </c>
      <c r="AC35" s="1506">
        <f t="shared" si="5"/>
        <v>1</v>
      </c>
    </row>
    <row r="36" spans="1:31" s="113" customFormat="1" ht="15">
      <c r="A36" s="431"/>
      <c r="B36" s="380" t="s">
        <v>2514</v>
      </c>
      <c r="C36" s="2135"/>
      <c r="D36" s="132">
        <v>100</v>
      </c>
      <c r="E36" s="2135"/>
      <c r="F36" s="393">
        <f>SUMIF(112:112,E36,113:113)-SUMIF(112:112,C36,113:113)+100</f>
        <v>100</v>
      </c>
      <c r="G36" s="2135"/>
      <c r="H36" s="393">
        <f>SUMIF(112:112,G36,113:113)-SUMIF(112:112,C36,113:113)+100</f>
        <v>100</v>
      </c>
      <c r="I36" s="2135"/>
      <c r="J36" s="393">
        <f>SUMIF(112:112,I36,113:113)-SUMIF(112:112,C36,113:113)+100</f>
        <v>100</v>
      </c>
      <c r="K36" s="568"/>
      <c r="L36" s="2915"/>
      <c r="M36" s="2916"/>
      <c r="N36" s="2916"/>
      <c r="O36" s="2970"/>
      <c r="P36" s="3363"/>
      <c r="Q36" s="1505" t="str">
        <f t="shared" si="14"/>
        <v>宗地开发程度</v>
      </c>
      <c r="R36" s="709" t="s">
        <v>17</v>
      </c>
      <c r="S36" s="710">
        <f t="shared" si="10"/>
        <v>100</v>
      </c>
      <c r="T36" s="709" t="s">
        <v>17</v>
      </c>
      <c r="U36" s="710">
        <f t="shared" si="11"/>
        <v>100</v>
      </c>
      <c r="V36" s="709" t="s">
        <v>17</v>
      </c>
      <c r="W36" s="710">
        <f t="shared" si="12"/>
        <v>100</v>
      </c>
      <c r="X36" s="711"/>
      <c r="Y36" s="3363"/>
      <c r="Z36" s="55" t="str">
        <f t="shared" si="13"/>
        <v>宗地开发程度</v>
      </c>
      <c r="AA36" s="712">
        <f t="shared" si="3"/>
        <v>1</v>
      </c>
      <c r="AB36" s="712">
        <f t="shared" si="4"/>
        <v>1</v>
      </c>
      <c r="AC36" s="712">
        <f t="shared" si="5"/>
        <v>1</v>
      </c>
    </row>
    <row r="37" spans="1:31" ht="15">
      <c r="A37" s="430"/>
      <c r="B37" s="380" t="s">
        <v>2515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20"/>
      <c r="M37" s="2914"/>
      <c r="N37" s="2914"/>
      <c r="O37" s="2972"/>
      <c r="P37" s="3363" t="s">
        <v>2326</v>
      </c>
      <c r="Q37" s="1505" t="str">
        <f t="shared" si="14"/>
        <v>工程地质条件</v>
      </c>
      <c r="R37" s="713" t="s">
        <v>17</v>
      </c>
      <c r="S37" s="714">
        <f t="shared" si="10"/>
        <v>100</v>
      </c>
      <c r="T37" s="713" t="s">
        <v>17</v>
      </c>
      <c r="U37" s="714">
        <f t="shared" si="11"/>
        <v>100</v>
      </c>
      <c r="V37" s="713" t="s">
        <v>17</v>
      </c>
      <c r="W37" s="714">
        <f t="shared" si="12"/>
        <v>100</v>
      </c>
      <c r="X37" s="1508"/>
      <c r="Y37" s="3363" t="s">
        <v>2326</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20"/>
      <c r="M38" s="2914"/>
      <c r="N38" s="2914"/>
      <c r="O38" s="2972"/>
      <c r="P38" s="3363"/>
      <c r="Q38" s="1505">
        <f t="shared" si="14"/>
        <v>111</v>
      </c>
      <c r="R38" s="713" t="s">
        <v>17</v>
      </c>
      <c r="S38" s="714">
        <f t="shared" si="10"/>
        <v>100</v>
      </c>
      <c r="T38" s="713" t="s">
        <v>17</v>
      </c>
      <c r="U38" s="714">
        <f t="shared" si="11"/>
        <v>100</v>
      </c>
      <c r="V38" s="713" t="s">
        <v>17</v>
      </c>
      <c r="W38" s="714">
        <f t="shared" si="12"/>
        <v>100</v>
      </c>
      <c r="X38" s="1508"/>
      <c r="Y38" s="3363"/>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20"/>
      <c r="M39" s="2914"/>
      <c r="N39" s="2914"/>
      <c r="O39" s="2972"/>
      <c r="P39" s="3363"/>
      <c r="Q39" s="1505">
        <f t="shared" si="14"/>
        <v>111</v>
      </c>
      <c r="R39" s="713" t="s">
        <v>17</v>
      </c>
      <c r="S39" s="714">
        <f t="shared" si="10"/>
        <v>100</v>
      </c>
      <c r="T39" s="713" t="s">
        <v>17</v>
      </c>
      <c r="U39" s="714">
        <f t="shared" si="11"/>
        <v>100</v>
      </c>
      <c r="V39" s="713" t="s">
        <v>17</v>
      </c>
      <c r="W39" s="714">
        <f t="shared" si="12"/>
        <v>100</v>
      </c>
      <c r="X39" s="1508"/>
      <c r="Y39" s="3363"/>
      <c r="Z39" s="1509">
        <f t="shared" si="13"/>
        <v>111</v>
      </c>
      <c r="AA39" s="1506">
        <f t="shared" si="3"/>
        <v>1</v>
      </c>
      <c r="AB39" s="1506">
        <f t="shared" si="4"/>
        <v>1</v>
      </c>
      <c r="AC39" s="1506">
        <f t="shared" si="5"/>
        <v>1</v>
      </c>
    </row>
    <row r="40" spans="1:31" s="429" customFormat="1" ht="15.75" thickBot="1">
      <c r="A40" s="426"/>
      <c r="B40" s="1267">
        <v>111</v>
      </c>
      <c r="C40" s="2136"/>
      <c r="D40" s="133">
        <v>100</v>
      </c>
      <c r="E40" s="629"/>
      <c r="F40" s="396">
        <f>SUMIF(120:120,E40,121:121)-SUMIF(120:120,C40,121:121)+100</f>
        <v>100</v>
      </c>
      <c r="G40" s="629"/>
      <c r="H40" s="396">
        <f>SUMIF(120:120,G40,121:121)-SUMIF(120:120,C40,121:121)+100</f>
        <v>100</v>
      </c>
      <c r="I40" s="505"/>
      <c r="J40" s="396">
        <f>SUMIF(120:120,I40,121:121)-SUMIF(120:120,C40,121:121)+100</f>
        <v>100</v>
      </c>
      <c r="K40" s="636"/>
      <c r="L40" s="2919"/>
      <c r="M40" s="2921"/>
      <c r="N40" s="2921"/>
      <c r="O40" s="2973"/>
      <c r="P40" s="3363"/>
      <c r="Q40" s="1505">
        <f t="shared" si="14"/>
        <v>111</v>
      </c>
      <c r="R40" s="716" t="s">
        <v>17</v>
      </c>
      <c r="S40" s="717">
        <f t="shared" si="10"/>
        <v>100</v>
      </c>
      <c r="T40" s="716" t="s">
        <v>17</v>
      </c>
      <c r="U40" s="717">
        <f t="shared" si="11"/>
        <v>100</v>
      </c>
      <c r="V40" s="716" t="s">
        <v>17</v>
      </c>
      <c r="W40" s="717">
        <f t="shared" si="12"/>
        <v>100</v>
      </c>
      <c r="X40" s="718"/>
      <c r="Y40" s="3363"/>
      <c r="Z40" s="719">
        <f t="shared" si="13"/>
        <v>111</v>
      </c>
      <c r="AA40" s="1506">
        <f t="shared" si="3"/>
        <v>1</v>
      </c>
      <c r="AB40" s="1506">
        <f t="shared" si="4"/>
        <v>1</v>
      </c>
      <c r="AC40" s="1506">
        <f t="shared" si="5"/>
        <v>1</v>
      </c>
    </row>
    <row r="41" spans="1:31" ht="15">
      <c r="A41" s="437" t="s">
        <v>2481</v>
      </c>
      <c r="B41" s="2137" t="s">
        <v>2560</v>
      </c>
      <c r="C41" s="637" t="s">
        <v>1</v>
      </c>
      <c r="D41" s="439"/>
      <c r="E41" s="440"/>
      <c r="F41" s="441"/>
      <c r="G41" s="442"/>
      <c r="H41" s="443"/>
      <c r="I41" s="440"/>
      <c r="J41" s="443"/>
      <c r="K41" s="722"/>
      <c r="L41" s="2922"/>
      <c r="M41" s="2914"/>
      <c r="N41" s="2914"/>
      <c r="O41" s="2923"/>
      <c r="P41" s="3355" t="str">
        <f>A41</f>
        <v>成交单价</v>
      </c>
      <c r="Q41" s="3355"/>
      <c r="R41" s="3384">
        <f>E41</f>
        <v>0</v>
      </c>
      <c r="S41" s="3384"/>
      <c r="T41" s="3384">
        <f>G41</f>
        <v>0</v>
      </c>
      <c r="U41" s="3384"/>
      <c r="V41" s="3384">
        <f>I41</f>
        <v>0</v>
      </c>
      <c r="W41" s="3384"/>
      <c r="X41" s="698"/>
      <c r="Y41" s="720"/>
      <c r="Z41" s="698"/>
      <c r="AA41" s="698"/>
      <c r="AB41" s="698"/>
      <c r="AC41" s="698"/>
    </row>
    <row r="42" spans="1:31" ht="15.75" thickBot="1">
      <c r="A42" s="444" t="s">
        <v>2430</v>
      </c>
      <c r="B42" s="638"/>
      <c r="C42" s="447" t="e">
        <f>R43</f>
        <v>#DIV/0!</v>
      </c>
      <c r="D42" s="2507" t="s">
        <v>2818</v>
      </c>
      <c r="E42" s="447" t="e">
        <f>R42</f>
        <v>#DIV/0!</v>
      </c>
      <c r="F42" s="2508"/>
      <c r="G42" s="446" t="e">
        <f>T42</f>
        <v>#DIV/0!</v>
      </c>
      <c r="H42" s="2508"/>
      <c r="I42" s="447" t="e">
        <f>V42</f>
        <v>#DIV/0!</v>
      </c>
      <c r="J42" s="2508"/>
      <c r="K42" s="2510">
        <f>F42+H42+J42</f>
        <v>0</v>
      </c>
      <c r="L42" s="2922"/>
      <c r="M42" s="2914"/>
      <c r="N42" s="2914"/>
      <c r="O42" s="2923"/>
      <c r="P42" s="3355" t="str">
        <f>A42</f>
        <v>比较价值（元/平方米）</v>
      </c>
      <c r="Q42" s="3355"/>
      <c r="R42" s="3547" t="e">
        <f>ROUND(PRODUCT(R41,AA7:AA40),0)</f>
        <v>#DIV/0!</v>
      </c>
      <c r="S42" s="3547"/>
      <c r="T42" s="3547" t="e">
        <f>ROUND(PRODUCT(T41,AB7:AB40),0)</f>
        <v>#DIV/0!</v>
      </c>
      <c r="U42" s="3547"/>
      <c r="V42" s="3547" t="e">
        <f>ROUND(PRODUCT(V41,AC7:AC40),0)</f>
        <v>#DIV/0!</v>
      </c>
      <c r="W42" s="3547"/>
      <c r="X42" s="698"/>
      <c r="Y42" s="698"/>
      <c r="Z42" s="698"/>
      <c r="AA42" s="698"/>
      <c r="AB42" s="698"/>
      <c r="AC42" s="698"/>
    </row>
    <row r="43" spans="1:31" ht="15.75" thickBot="1">
      <c r="A43" s="448" t="s">
        <v>2431</v>
      </c>
      <c r="B43" s="449"/>
      <c r="C43" s="450" t="e">
        <f>R43</f>
        <v>#DIV/0!</v>
      </c>
      <c r="D43" s="450"/>
      <c r="E43" s="450"/>
      <c r="F43" s="450"/>
      <c r="G43" s="450"/>
      <c r="H43" s="450"/>
      <c r="I43" s="450"/>
      <c r="J43" s="450"/>
      <c r="K43" s="723"/>
      <c r="L43" s="2922"/>
      <c r="M43" s="2914"/>
      <c r="N43" s="2914"/>
      <c r="O43" s="2923"/>
      <c r="P43" s="3357" t="str">
        <f>A43</f>
        <v>估价对象XX用房的比较价值（楼面单价，元/平方米）</v>
      </c>
      <c r="Q43" s="3358"/>
      <c r="R43" s="3548" t="e">
        <f>ROUND(IF(D42="简单平均",AVERAGE(R42:W42),R42*F42+T42*H42+V42*J42),0)</f>
        <v>#DIV/0!</v>
      </c>
      <c r="S43" s="3548"/>
      <c r="T43" s="3548"/>
      <c r="U43" s="3548"/>
      <c r="V43" s="3548"/>
      <c r="W43" s="3548"/>
      <c r="X43" s="698"/>
      <c r="Y43" s="698"/>
      <c r="Z43" s="698"/>
      <c r="AA43" s="698"/>
      <c r="AB43" s="698"/>
      <c r="AC43" s="698"/>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8" customFormat="1" ht="13.5" customHeight="1">
      <c r="A48" s="2926"/>
      <c r="B48" s="2926"/>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8" customFormat="1" ht="15" thickBot="1">
      <c r="A49" s="2926"/>
      <c r="B49" s="2929"/>
      <c r="C49" s="701"/>
      <c r="D49" s="699"/>
      <c r="E49" s="699"/>
      <c r="F49" s="699"/>
      <c r="G49" s="699"/>
      <c r="H49" s="699"/>
      <c r="I49" s="699"/>
      <c r="J49" s="699"/>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39" t="s">
        <v>2518</v>
      </c>
      <c r="B50" s="640" t="s">
        <v>2519</v>
      </c>
      <c r="C50" s="2138" t="s">
        <v>2520</v>
      </c>
      <c r="D50" s="2139" t="s">
        <v>2521</v>
      </c>
      <c r="E50" s="641" t="s">
        <v>2522</v>
      </c>
      <c r="F50" s="642" t="s">
        <v>2523</v>
      </c>
      <c r="G50" s="3368" t="s">
        <v>2524</v>
      </c>
      <c r="H50" s="3549"/>
      <c r="I50" s="1509" t="s">
        <v>2561</v>
      </c>
      <c r="J50" s="1509">
        <f>项目基本情况!F35</f>
        <v>0</v>
      </c>
      <c r="K50" s="2141" t="s">
        <v>2526</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7" customFormat="1">
      <c r="A51" s="643" t="s">
        <v>2527</v>
      </c>
      <c r="B51" s="644" t="e">
        <f>C43</f>
        <v>#DIV/0!</v>
      </c>
      <c r="C51" s="645">
        <v>1</v>
      </c>
      <c r="D51" s="1074">
        <v>1</v>
      </c>
      <c r="E51" s="645">
        <f>'数据-汇总表'!E8+'数据-汇总表'!E9</f>
        <v>0</v>
      </c>
      <c r="F51" s="646" t="e">
        <f t="shared" ref="F51:F60" si="15">ROUND(B51*E51/10000,0)</f>
        <v>#DIV/0!</v>
      </c>
      <c r="G51" s="3531"/>
      <c r="H51" s="3355"/>
      <c r="I51" s="878">
        <v>1</v>
      </c>
      <c r="J51" s="878">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7" customFormat="1">
      <c r="A52" s="648" t="s">
        <v>2528</v>
      </c>
      <c r="B52" s="223" t="e">
        <f>ROUND($C$43*C52*D52,0)</f>
        <v>#DIV/0!</v>
      </c>
      <c r="C52" s="175">
        <f t="shared" ref="C52:C60" si="16">IF($C$50="北京市系数",I52,J52)</f>
        <v>0.7</v>
      </c>
      <c r="D52" s="1075">
        <v>0.25</v>
      </c>
      <c r="E52" s="649"/>
      <c r="F52" s="646" t="e">
        <f t="shared" si="15"/>
        <v>#DIV/0!</v>
      </c>
      <c r="G52" s="3550" t="s">
        <v>2529</v>
      </c>
      <c r="H52" s="1017" t="str">
        <f>项目基本情况!B37</f>
        <v>七级</v>
      </c>
      <c r="I52" s="878">
        <f>SUMIF(修正!A45:A56,H52,修正!B45:B56)</f>
        <v>0.7</v>
      </c>
      <c r="J52" s="879"/>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7" customFormat="1">
      <c r="A53" s="648" t="s">
        <v>2530</v>
      </c>
      <c r="B53" s="223" t="e">
        <f t="shared" ref="B53:B60" si="17">ROUND($C$43*C53*D53,0)</f>
        <v>#DIV/0!</v>
      </c>
      <c r="C53" s="175">
        <f t="shared" si="16"/>
        <v>0.4</v>
      </c>
      <c r="D53" s="1075">
        <v>0.25</v>
      </c>
      <c r="E53" s="649"/>
      <c r="F53" s="646" t="e">
        <f t="shared" si="15"/>
        <v>#DIV/0!</v>
      </c>
      <c r="G53" s="3550"/>
      <c r="H53" s="1017" t="str">
        <f>项目基本情况!B37</f>
        <v>七级</v>
      </c>
      <c r="I53" s="878">
        <f>SUMIF(修正!A45:A56,H53,修正!C45:C56)</f>
        <v>0.4</v>
      </c>
      <c r="J53" s="879"/>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7" customFormat="1">
      <c r="A54" s="648" t="s">
        <v>2531</v>
      </c>
      <c r="B54" s="223" t="e">
        <f t="shared" si="17"/>
        <v>#DIV/0!</v>
      </c>
      <c r="C54" s="175">
        <f t="shared" si="16"/>
        <v>0.28000000000000003</v>
      </c>
      <c r="D54" s="1075">
        <v>0.25</v>
      </c>
      <c r="E54" s="649"/>
      <c r="F54" s="646" t="e">
        <f t="shared" si="15"/>
        <v>#DIV/0!</v>
      </c>
      <c r="G54" s="3550"/>
      <c r="H54" s="1017" t="str">
        <f>项目基本情况!B37</f>
        <v>七级</v>
      </c>
      <c r="I54" s="878">
        <f>SUMIF(修正!A45:A56,H54,修正!D45:D56)</f>
        <v>0.28000000000000003</v>
      </c>
      <c r="J54" s="879"/>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7" customFormat="1">
      <c r="A55" s="648" t="s">
        <v>2532</v>
      </c>
      <c r="B55" s="223" t="e">
        <f t="shared" si="17"/>
        <v>#DIV/0!</v>
      </c>
      <c r="C55" s="175">
        <f t="shared" si="16"/>
        <v>0.25</v>
      </c>
      <c r="D55" s="1075">
        <v>0.25</v>
      </c>
      <c r="E55" s="649"/>
      <c r="F55" s="646" t="e">
        <f t="shared" si="15"/>
        <v>#DIV/0!</v>
      </c>
      <c r="G55" s="3550"/>
      <c r="H55" s="1017" t="str">
        <f>项目基本情况!B37</f>
        <v>七级</v>
      </c>
      <c r="I55" s="878">
        <f>SUMIF(修正!A45:A56,H55,修正!E45:E56)</f>
        <v>0.25</v>
      </c>
      <c r="J55" s="879"/>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7" customFormat="1">
      <c r="A56" s="648" t="s">
        <v>2533</v>
      </c>
      <c r="B56" s="223" t="e">
        <f t="shared" si="17"/>
        <v>#DIV/0!</v>
      </c>
      <c r="C56" s="175">
        <f t="shared" si="16"/>
        <v>0.25</v>
      </c>
      <c r="D56" s="1075">
        <v>0.25</v>
      </c>
      <c r="E56" s="222">
        <f>'数据-汇总表'!E11</f>
        <v>0</v>
      </c>
      <c r="F56" s="646" t="e">
        <f t="shared" si="15"/>
        <v>#DIV/0!</v>
      </c>
      <c r="G56" s="2142" t="s">
        <v>2534</v>
      </c>
      <c r="H56" s="1017" t="str">
        <f>项目基本情况!C37</f>
        <v>七级</v>
      </c>
      <c r="I56" s="878">
        <f>SUMIF(修正!A45:A56,H56,修正!F45:F56)</f>
        <v>0.25</v>
      </c>
      <c r="J56" s="879"/>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7" customFormat="1">
      <c r="A57" s="648" t="s">
        <v>2535</v>
      </c>
      <c r="B57" s="223" t="e">
        <f t="shared" si="17"/>
        <v>#DIV/0!</v>
      </c>
      <c r="C57" s="175">
        <f t="shared" si="16"/>
        <v>0.25</v>
      </c>
      <c r="D57" s="1075">
        <v>0.25</v>
      </c>
      <c r="E57" s="222">
        <f>'数据-汇总表'!E12</f>
        <v>9034.9699999999993</v>
      </c>
      <c r="F57" s="646" t="e">
        <f t="shared" si="15"/>
        <v>#DIV/0!</v>
      </c>
      <c r="G57" s="1022" t="s">
        <v>2536</v>
      </c>
      <c r="H57" s="1017" t="str">
        <f>IF(G57="商业",项目基本情况!B37,IF(G57="办公",项目基本情况!C37,IF(G57="住宅",项目基本情况!D37,项目基本情况!E37)))</f>
        <v>七级</v>
      </c>
      <c r="I57" s="878">
        <f>SUMIF(修正!A45:A56,H57,修正!G45:G56)</f>
        <v>0.25</v>
      </c>
      <c r="J57" s="879"/>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7" customFormat="1">
      <c r="A58" s="648" t="s">
        <v>2537</v>
      </c>
      <c r="B58" s="223" t="e">
        <f t="shared" si="17"/>
        <v>#DIV/0!</v>
      </c>
      <c r="C58" s="175">
        <f t="shared" si="16"/>
        <v>0.2</v>
      </c>
      <c r="D58" s="1075">
        <v>0.25</v>
      </c>
      <c r="E58" s="222">
        <f>'数据-汇总表'!E13</f>
        <v>11780.21</v>
      </c>
      <c r="F58" s="646" t="e">
        <f t="shared" si="15"/>
        <v>#DIV/0!</v>
      </c>
      <c r="G58" s="1022" t="s">
        <v>2538</v>
      </c>
      <c r="H58" s="1017" t="str">
        <f>IF(G58="商业",项目基本情况!B37,IF(G58="办公",项目基本情况!C37,IF(G58="住宅",项目基本情况!D37,项目基本情况!E37)))</f>
        <v>七级</v>
      </c>
      <c r="I58" s="878">
        <f>SUMIF(修正!A45:A56,H58,修正!H45:H56)</f>
        <v>0.2</v>
      </c>
      <c r="J58" s="879"/>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7" customFormat="1">
      <c r="A59" s="648" t="s">
        <v>2539</v>
      </c>
      <c r="B59" s="223" t="e">
        <f t="shared" si="17"/>
        <v>#DIV/0!</v>
      </c>
      <c r="C59" s="175">
        <f t="shared" si="16"/>
        <v>0.2</v>
      </c>
      <c r="D59" s="1075">
        <v>0.25</v>
      </c>
      <c r="E59" s="222">
        <f>'数据-汇总表'!E14</f>
        <v>0</v>
      </c>
      <c r="F59" s="646" t="e">
        <f t="shared" si="15"/>
        <v>#DIV/0!</v>
      </c>
      <c r="G59" s="2142" t="s">
        <v>2529</v>
      </c>
      <c r="H59" s="1017" t="str">
        <f>项目基本情况!B37</f>
        <v>七级</v>
      </c>
      <c r="I59" s="878">
        <f>SUMIF(修正!A45:A56,H59,修正!H45:H56)</f>
        <v>0.2</v>
      </c>
      <c r="J59" s="879"/>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7" customFormat="1" ht="15" thickBot="1">
      <c r="A60" s="648" t="s">
        <v>2540</v>
      </c>
      <c r="B60" s="223" t="e">
        <f t="shared" si="17"/>
        <v>#DIV/0!</v>
      </c>
      <c r="C60" s="175">
        <f t="shared" si="16"/>
        <v>0.2</v>
      </c>
      <c r="D60" s="1075">
        <v>0.25</v>
      </c>
      <c r="E60" s="222">
        <f>'数据-汇总表'!E15</f>
        <v>0</v>
      </c>
      <c r="F60" s="646" t="e">
        <f t="shared" si="15"/>
        <v>#DIV/0!</v>
      </c>
      <c r="G60" s="2143" t="s">
        <v>2534</v>
      </c>
      <c r="H60" s="1027" t="str">
        <f>项目基本情况!C37</f>
        <v>七级</v>
      </c>
      <c r="I60" s="878">
        <f>SUMIF(修正!A45:A56,H60,修正!H45:H56)</f>
        <v>0.2</v>
      </c>
      <c r="J60" s="879"/>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7" customFormat="1" ht="15" thickBot="1">
      <c r="A61" s="650" t="s">
        <v>2541</v>
      </c>
      <c r="B61" s="651" t="s">
        <v>28</v>
      </c>
      <c r="C61" s="651" t="s">
        <v>29</v>
      </c>
      <c r="D61" s="651" t="s">
        <v>997</v>
      </c>
      <c r="E61" s="651">
        <f>IF(B41="楼面地价",SUM(E51:E60),'数据-汇总表'!D3)</f>
        <v>10785.07</v>
      </c>
      <c r="F61" s="652" t="e">
        <f>IF(B41="楼面地价",SUM(F51:F60),ROUND(C43*E61/10000,0))</f>
        <v>#DIV/0!</v>
      </c>
      <c r="G61" s="1069"/>
      <c r="H61" s="1069"/>
      <c r="I61" s="1069"/>
      <c r="J61" s="1069"/>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7"/>
      <c r="B62" s="1059"/>
      <c r="C62" s="1061"/>
      <c r="D62" s="1057"/>
      <c r="E62" s="1057"/>
      <c r="F62" s="1057"/>
      <c r="G62" s="1057"/>
      <c r="H62" s="1057"/>
      <c r="I62" s="1057"/>
      <c r="J62" s="1057"/>
      <c r="K62" s="1018"/>
      <c r="L62" s="1019"/>
      <c r="M62" s="1057"/>
      <c r="N62" s="1057"/>
      <c r="O62" s="1057"/>
      <c r="P62" s="2923"/>
      <c r="Q62" s="2923"/>
      <c r="R62" s="2923"/>
      <c r="S62" s="2923"/>
      <c r="T62" s="2923"/>
      <c r="U62" s="2923"/>
      <c r="V62" s="2923"/>
      <c r="W62" s="2923"/>
      <c r="X62" s="2923"/>
      <c r="Y62" s="2923"/>
      <c r="Z62" s="2923"/>
      <c r="AA62" s="2923"/>
      <c r="AB62" s="2923"/>
      <c r="AC62" s="2923"/>
      <c r="AD62" s="2923"/>
      <c r="AE62" s="2923"/>
    </row>
    <row r="63" spans="1:31">
      <c r="A63" s="1057"/>
      <c r="B63" s="1059"/>
      <c r="C63" s="700" t="str">
        <f>YEAR(C7)&amp;"-"&amp;MONTH(C7)&amp;"-1"</f>
        <v>2022-2-1</v>
      </c>
      <c r="D63" s="700">
        <f>EDATE(C63,-3)</f>
        <v>44501</v>
      </c>
      <c r="E63" s="700">
        <f>EDATE(D63,-3)</f>
        <v>44409</v>
      </c>
      <c r="F63" s="700">
        <f t="shared" ref="F63:O63" si="18">EDATE(E63,-3)</f>
        <v>44317</v>
      </c>
      <c r="G63" s="700">
        <f t="shared" si="18"/>
        <v>44228</v>
      </c>
      <c r="H63" s="700">
        <f t="shared" si="18"/>
        <v>44136</v>
      </c>
      <c r="I63" s="700">
        <f t="shared" si="18"/>
        <v>44044</v>
      </c>
      <c r="J63" s="700">
        <f t="shared" si="18"/>
        <v>43952</v>
      </c>
      <c r="K63" s="700">
        <f t="shared" si="18"/>
        <v>43862</v>
      </c>
      <c r="L63" s="700">
        <f t="shared" si="18"/>
        <v>43770</v>
      </c>
      <c r="M63" s="700">
        <f t="shared" si="18"/>
        <v>43678</v>
      </c>
      <c r="N63" s="700">
        <f t="shared" si="18"/>
        <v>43586</v>
      </c>
      <c r="O63" s="700">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2" t="s">
        <v>2435</v>
      </c>
      <c r="B64" s="698"/>
      <c r="C64" s="703"/>
      <c r="D64" s="703"/>
      <c r="E64" s="703"/>
      <c r="F64" s="704"/>
      <c r="G64" s="704"/>
      <c r="H64" s="703"/>
      <c r="I64" s="703"/>
      <c r="J64" s="703"/>
      <c r="K64" s="705"/>
      <c r="L64" s="706"/>
      <c r="M64" s="703"/>
      <c r="N64" s="703"/>
      <c r="O64" s="1070"/>
      <c r="P64" s="2967"/>
      <c r="Q64" s="2937"/>
      <c r="R64" s="2923"/>
      <c r="S64" s="2923"/>
      <c r="T64" s="2923"/>
      <c r="U64" s="2923"/>
      <c r="V64" s="2923"/>
      <c r="W64" s="2923"/>
      <c r="X64" s="2923"/>
      <c r="Y64" s="2923"/>
      <c r="Z64" s="2923"/>
      <c r="AA64" s="2923"/>
      <c r="AB64" s="2923"/>
      <c r="AC64" s="2923"/>
      <c r="AD64" s="2923"/>
      <c r="AE64" s="2923"/>
    </row>
    <row r="65" spans="1:31" s="464" customFormat="1" ht="15">
      <c r="A65" s="2144" t="s">
        <v>2542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3" t="str">
        <f>"北京市平均增长率"&amp;TEXT(基准地价修正!P24,"0.00%")</f>
        <v>北京市平均增长率1.20%</v>
      </c>
      <c r="C66" s="559">
        <v>100</v>
      </c>
      <c r="D66" s="551"/>
      <c r="E66" s="551"/>
      <c r="F66" s="551"/>
      <c r="G66" s="551"/>
      <c r="H66" s="551"/>
      <c r="I66" s="551"/>
      <c r="J66" s="551"/>
      <c r="K66" s="551"/>
      <c r="L66" s="551"/>
      <c r="M66" s="1311"/>
      <c r="N66" s="1311"/>
      <c r="O66" s="1313"/>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1" t="s">
        <v>2346</v>
      </c>
      <c r="B67" s="472"/>
      <c r="C67" s="473"/>
      <c r="D67" s="474"/>
      <c r="E67" s="474"/>
      <c r="F67" s="474"/>
      <c r="G67" s="474"/>
      <c r="H67" s="474"/>
      <c r="I67" s="474"/>
      <c r="J67" s="474"/>
      <c r="K67" s="474"/>
      <c r="L67" s="474"/>
      <c r="M67" s="475"/>
      <c r="N67" s="475"/>
      <c r="O67" s="476"/>
      <c r="P67" s="2937"/>
      <c r="Q67" s="2937"/>
      <c r="R67" s="2857"/>
      <c r="S67" s="2857"/>
      <c r="T67" s="2857"/>
      <c r="U67" s="2857"/>
      <c r="V67" s="2857"/>
      <c r="W67" s="2857"/>
      <c r="X67" s="2857"/>
      <c r="Y67" s="2857"/>
      <c r="Z67" s="2857"/>
      <c r="AA67" s="2857"/>
      <c r="AB67" s="2857"/>
      <c r="AC67" s="2857"/>
      <c r="AD67" s="2857"/>
      <c r="AE67" s="2857"/>
    </row>
    <row r="68" spans="1:31" s="113" customFormat="1" ht="15">
      <c r="A68" s="477" t="s">
        <v>2311</v>
      </c>
      <c r="B68" s="466"/>
      <c r="C68" s="478" t="s">
        <v>2413</v>
      </c>
      <c r="D68" s="479"/>
      <c r="E68" s="479"/>
      <c r="F68" s="479"/>
      <c r="G68" s="479"/>
      <c r="H68" s="479"/>
      <c r="I68" s="479"/>
      <c r="J68" s="479"/>
      <c r="K68" s="479"/>
      <c r="L68" s="480"/>
      <c r="M68" s="481"/>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7"/>
      <c r="B69" s="466"/>
      <c r="C69" s="594">
        <v>100</v>
      </c>
      <c r="D69" s="468"/>
      <c r="E69" s="468"/>
      <c r="F69" s="468"/>
      <c r="G69" s="468"/>
      <c r="H69" s="468"/>
      <c r="I69" s="468"/>
      <c r="J69" s="468"/>
      <c r="K69" s="468"/>
      <c r="L69" s="468"/>
      <c r="M69" s="470"/>
      <c r="N69" s="2950"/>
      <c r="O69" s="2950"/>
      <c r="P69" s="2937"/>
      <c r="Q69" s="2937"/>
      <c r="R69" s="2857"/>
      <c r="S69" s="2857"/>
      <c r="T69" s="2857"/>
      <c r="U69" s="2857"/>
      <c r="V69" s="2857"/>
      <c r="W69" s="2857"/>
      <c r="X69" s="2857"/>
      <c r="Y69" s="2857"/>
      <c r="Z69" s="2857"/>
      <c r="AA69" s="2857"/>
      <c r="AB69" s="2857"/>
      <c r="AC69" s="2857"/>
      <c r="AD69" s="2857"/>
      <c r="AE69" s="2857"/>
    </row>
    <row r="70" spans="1:31">
      <c r="A70" s="483" t="s">
        <v>2349</v>
      </c>
      <c r="B70" s="484" t="s">
        <v>2315</v>
      </c>
      <c r="C70" s="486"/>
      <c r="D70" s="486"/>
      <c r="E70" s="486"/>
      <c r="F70" s="486"/>
      <c r="G70" s="486"/>
      <c r="H70" s="486"/>
      <c r="I70" s="486"/>
      <c r="J70" s="486"/>
      <c r="K70" s="487"/>
      <c r="L70" s="488"/>
      <c r="M70" s="489"/>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0"/>
      <c r="B71" s="491"/>
      <c r="C71" s="492"/>
      <c r="D71" s="492"/>
      <c r="E71" s="492"/>
      <c r="F71" s="492"/>
      <c r="G71" s="492"/>
      <c r="H71" s="492"/>
      <c r="I71" s="492"/>
      <c r="J71" s="492"/>
      <c r="K71" s="492"/>
      <c r="L71" s="492"/>
      <c r="M71" s="493"/>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0"/>
      <c r="B72" s="494" t="s">
        <v>2318</v>
      </c>
      <c r="C72" s="495"/>
      <c r="D72" s="495"/>
      <c r="E72" s="495"/>
      <c r="F72" s="495"/>
      <c r="G72" s="495"/>
      <c r="H72" s="495"/>
      <c r="I72" s="495"/>
      <c r="J72" s="495"/>
      <c r="K72" s="496"/>
      <c r="L72" s="497"/>
      <c r="M72" s="498"/>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0"/>
      <c r="B73" s="499"/>
      <c r="C73" s="500"/>
      <c r="D73" s="500"/>
      <c r="E73" s="500"/>
      <c r="F73" s="500"/>
      <c r="G73" s="500"/>
      <c r="H73" s="500"/>
      <c r="I73" s="500"/>
      <c r="J73" s="500"/>
      <c r="K73" s="500"/>
      <c r="L73" s="500"/>
      <c r="M73" s="501"/>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0"/>
      <c r="B74" s="502" t="s">
        <v>2319</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0"/>
      <c r="B75" s="504"/>
      <c r="C75" s="505"/>
      <c r="D75" s="505"/>
      <c r="E75" s="505"/>
      <c r="F75" s="505"/>
      <c r="G75" s="505"/>
      <c r="H75" s="505"/>
      <c r="I75" s="505"/>
      <c r="J75" s="505"/>
      <c r="K75" s="506"/>
      <c r="L75" s="507"/>
      <c r="M75" s="508"/>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29" customFormat="1" ht="15.75" thickTop="1">
      <c r="A77" s="509"/>
      <c r="B77" s="494">
        <f>B12</f>
        <v>111</v>
      </c>
      <c r="C77" s="510"/>
      <c r="D77" s="510"/>
      <c r="E77" s="510"/>
      <c r="F77" s="510"/>
      <c r="G77" s="510"/>
      <c r="H77" s="511"/>
      <c r="I77" s="511"/>
      <c r="J77" s="511"/>
      <c r="K77" s="511"/>
      <c r="L77" s="512"/>
      <c r="M77" s="513"/>
      <c r="N77" s="2953"/>
      <c r="O77" s="2953"/>
      <c r="P77" s="2977"/>
      <c r="Q77" s="2944"/>
      <c r="R77" s="2945"/>
      <c r="S77" s="2945"/>
      <c r="T77" s="2945"/>
      <c r="U77" s="2945"/>
      <c r="V77" s="2945"/>
      <c r="W77" s="2945"/>
      <c r="X77" s="2945"/>
      <c r="Y77" s="2945"/>
      <c r="Z77" s="2945"/>
      <c r="AA77" s="2945"/>
      <c r="AB77" s="2945"/>
      <c r="AC77" s="2945"/>
      <c r="AD77" s="2945"/>
      <c r="AE77" s="2945"/>
    </row>
    <row r="78" spans="1:31" s="429" customFormat="1" ht="15.75" thickBot="1">
      <c r="A78" s="509"/>
      <c r="B78" s="499"/>
      <c r="C78" s="516"/>
      <c r="D78" s="492"/>
      <c r="E78" s="492"/>
      <c r="F78" s="492"/>
      <c r="G78" s="492"/>
      <c r="H78" s="492"/>
      <c r="I78" s="492"/>
      <c r="J78" s="492"/>
      <c r="K78" s="492"/>
      <c r="L78" s="492"/>
      <c r="M78" s="493"/>
      <c r="N78" s="2952"/>
      <c r="O78" s="2952"/>
      <c r="P78" s="2977"/>
      <c r="Q78" s="2944"/>
      <c r="R78" s="2945"/>
      <c r="S78" s="2945"/>
      <c r="T78" s="2945"/>
      <c r="U78" s="2945"/>
      <c r="V78" s="2945"/>
      <c r="W78" s="2945"/>
      <c r="X78" s="2945"/>
      <c r="Y78" s="2945"/>
      <c r="Z78" s="2945"/>
      <c r="AA78" s="2945"/>
      <c r="AB78" s="2945"/>
      <c r="AC78" s="2945"/>
      <c r="AD78" s="2945"/>
      <c r="AE78" s="2945"/>
    </row>
    <row r="79" spans="1:31" s="429" customFormat="1" ht="15.75" thickTop="1">
      <c r="A79" s="509"/>
      <c r="B79" s="494">
        <f>B13</f>
        <v>111</v>
      </c>
      <c r="C79" s="510"/>
      <c r="D79" s="510"/>
      <c r="E79" s="510"/>
      <c r="F79" s="510"/>
      <c r="G79" s="510"/>
      <c r="H79" s="511"/>
      <c r="I79" s="511"/>
      <c r="J79" s="511"/>
      <c r="K79" s="511"/>
      <c r="L79" s="512"/>
      <c r="M79" s="513"/>
      <c r="N79" s="2953"/>
      <c r="O79" s="2953"/>
      <c r="P79" s="2921"/>
      <c r="Q79" s="2947"/>
      <c r="R79" s="2945"/>
      <c r="S79" s="2945"/>
      <c r="T79" s="2945"/>
      <c r="U79" s="2945"/>
      <c r="V79" s="2945"/>
      <c r="W79" s="2945"/>
      <c r="X79" s="2945"/>
      <c r="Y79" s="2945"/>
      <c r="Z79" s="2945"/>
      <c r="AA79" s="2945"/>
      <c r="AB79" s="2945"/>
      <c r="AC79" s="2945"/>
      <c r="AD79" s="2945"/>
      <c r="AE79" s="2945"/>
    </row>
    <row r="80" spans="1:31" s="429" customFormat="1" ht="15.75" thickBot="1">
      <c r="A80" s="509"/>
      <c r="B80" s="499"/>
      <c r="C80" s="516"/>
      <c r="D80" s="516"/>
      <c r="E80" s="516"/>
      <c r="F80" s="516"/>
      <c r="G80" s="516"/>
      <c r="H80" s="518"/>
      <c r="I80" s="518"/>
      <c r="J80" s="518"/>
      <c r="K80" s="518"/>
      <c r="L80" s="518"/>
      <c r="M80" s="519"/>
      <c r="N80" s="2953"/>
      <c r="O80" s="2953"/>
      <c r="P80" s="2977"/>
      <c r="Q80" s="2944"/>
      <c r="R80" s="2945"/>
      <c r="S80" s="2945"/>
      <c r="T80" s="2945"/>
      <c r="U80" s="2945"/>
      <c r="V80" s="2945"/>
      <c r="W80" s="2945"/>
      <c r="X80" s="2945"/>
      <c r="Y80" s="2945"/>
      <c r="Z80" s="2945"/>
      <c r="AA80" s="2945"/>
      <c r="AB80" s="2945"/>
      <c r="AC80" s="2945"/>
      <c r="AD80" s="2945"/>
      <c r="AE80" s="2945"/>
    </row>
    <row r="81" spans="1:31" s="429" customFormat="1" ht="15.75" thickTop="1">
      <c r="A81" s="509"/>
      <c r="B81" s="502">
        <f>B14</f>
        <v>111</v>
      </c>
      <c r="C81" s="479"/>
      <c r="D81" s="479"/>
      <c r="E81" s="479"/>
      <c r="F81" s="479"/>
      <c r="G81" s="479"/>
      <c r="H81" s="520"/>
      <c r="I81" s="520"/>
      <c r="J81" s="520"/>
      <c r="K81" s="520"/>
      <c r="L81" s="521"/>
      <c r="M81" s="522"/>
      <c r="N81" s="2953"/>
      <c r="O81" s="2953"/>
      <c r="P81" s="2982"/>
      <c r="Q81" s="2944"/>
      <c r="R81" s="2945"/>
      <c r="S81" s="2945"/>
      <c r="T81" s="2945"/>
      <c r="U81" s="2945"/>
      <c r="V81" s="2945"/>
      <c r="W81" s="2945"/>
      <c r="X81" s="2945"/>
      <c r="Y81" s="2945"/>
      <c r="Z81" s="2945"/>
      <c r="AA81" s="2945"/>
      <c r="AB81" s="2945"/>
      <c r="AC81" s="2945"/>
      <c r="AD81" s="2945"/>
      <c r="AE81" s="2945"/>
    </row>
    <row r="82" spans="1:31" s="429" customFormat="1" ht="15.75" thickBot="1">
      <c r="A82" s="524"/>
      <c r="B82" s="525"/>
      <c r="C82" s="526"/>
      <c r="D82" s="526"/>
      <c r="E82" s="526"/>
      <c r="F82" s="526"/>
      <c r="G82" s="526"/>
      <c r="H82" s="527"/>
      <c r="I82" s="527"/>
      <c r="J82" s="527"/>
      <c r="K82" s="527"/>
      <c r="L82" s="527"/>
      <c r="M82" s="528"/>
      <c r="N82" s="2953"/>
      <c r="O82" s="2953"/>
      <c r="P82" s="2977"/>
      <c r="Q82" s="2944"/>
      <c r="R82" s="2945"/>
      <c r="S82" s="2945"/>
      <c r="T82" s="2945"/>
      <c r="U82" s="2945"/>
      <c r="V82" s="2945"/>
      <c r="W82" s="2945"/>
      <c r="X82" s="2945"/>
      <c r="Y82" s="2945"/>
      <c r="Z82" s="2945"/>
      <c r="AA82" s="2945"/>
      <c r="AB82" s="2945"/>
      <c r="AC82" s="2945"/>
      <c r="AD82" s="2945"/>
      <c r="AE82" s="2945"/>
    </row>
    <row r="83" spans="1:31">
      <c r="A83" s="483" t="s">
        <v>2320</v>
      </c>
      <c r="B83" s="484" t="s">
        <v>2466</v>
      </c>
      <c r="C83" s="529" t="s">
        <v>2358</v>
      </c>
      <c r="D83" s="529" t="s">
        <v>2359</v>
      </c>
      <c r="E83" s="529" t="s">
        <v>2360</v>
      </c>
      <c r="F83" s="529" t="s">
        <v>2361</v>
      </c>
      <c r="G83" s="529" t="s">
        <v>2362</v>
      </c>
      <c r="H83" s="485"/>
      <c r="I83" s="485"/>
      <c r="J83" s="485"/>
      <c r="K83" s="530"/>
      <c r="L83" s="531"/>
      <c r="M83" s="532"/>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0"/>
      <c r="B85" s="494" t="s">
        <v>2363</v>
      </c>
      <c r="C85" s="534" t="s">
        <v>2358</v>
      </c>
      <c r="D85" s="534" t="s">
        <v>2359</v>
      </c>
      <c r="E85" s="534" t="s">
        <v>2360</v>
      </c>
      <c r="F85" s="534" t="s">
        <v>2361</v>
      </c>
      <c r="G85" s="534" t="s">
        <v>2362</v>
      </c>
      <c r="H85" s="495"/>
      <c r="I85" s="495"/>
      <c r="J85" s="495"/>
      <c r="K85" s="496"/>
      <c r="L85" s="497"/>
      <c r="M85" s="498"/>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5"/>
      <c r="B87" s="494" t="s">
        <v>2545</v>
      </c>
      <c r="C87" s="529" t="s">
        <v>2358</v>
      </c>
      <c r="D87" s="529" t="s">
        <v>2359</v>
      </c>
      <c r="E87" s="529" t="s">
        <v>2360</v>
      </c>
      <c r="F87" s="529" t="s">
        <v>2361</v>
      </c>
      <c r="G87" s="529" t="s">
        <v>2362</v>
      </c>
      <c r="H87" s="534"/>
      <c r="I87" s="534"/>
      <c r="J87" s="534"/>
      <c r="K87" s="534"/>
      <c r="L87" s="653"/>
      <c r="M87" s="577"/>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5"/>
      <c r="B88" s="499"/>
      <c r="C88" s="538">
        <v>100</v>
      </c>
      <c r="D88" s="500">
        <f>C88-$K19</f>
        <v>100</v>
      </c>
      <c r="E88" s="500">
        <f>D88-$K19</f>
        <v>100</v>
      </c>
      <c r="F88" s="500">
        <f>E88-$K19</f>
        <v>100</v>
      </c>
      <c r="G88" s="500">
        <f>F88-$K19</f>
        <v>100</v>
      </c>
      <c r="H88" s="500"/>
      <c r="I88" s="500"/>
      <c r="J88" s="500"/>
      <c r="K88" s="500"/>
      <c r="L88" s="500"/>
      <c r="M88" s="501"/>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5"/>
      <c r="B89" s="494" t="s">
        <v>2546</v>
      </c>
      <c r="C89" s="529" t="s">
        <v>2358</v>
      </c>
      <c r="D89" s="529" t="s">
        <v>2359</v>
      </c>
      <c r="E89" s="529" t="s">
        <v>2360</v>
      </c>
      <c r="F89" s="529" t="s">
        <v>2361</v>
      </c>
      <c r="G89" s="529" t="s">
        <v>2362</v>
      </c>
      <c r="H89" s="534"/>
      <c r="I89" s="534"/>
      <c r="J89" s="534"/>
      <c r="K89" s="534"/>
      <c r="L89" s="534"/>
      <c r="M89" s="577"/>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5"/>
      <c r="B90" s="499"/>
      <c r="C90" s="500">
        <v>100</v>
      </c>
      <c r="D90" s="500">
        <f>C90-$K21</f>
        <v>100</v>
      </c>
      <c r="E90" s="500">
        <f>D90-$K21</f>
        <v>100</v>
      </c>
      <c r="F90" s="500">
        <f>E90-$K21</f>
        <v>100</v>
      </c>
      <c r="G90" s="500">
        <f>F90-$K21</f>
        <v>100</v>
      </c>
      <c r="H90" s="500"/>
      <c r="I90" s="500"/>
      <c r="J90" s="500"/>
      <c r="K90" s="500"/>
      <c r="L90" s="500"/>
      <c r="M90" s="501"/>
      <c r="N90" s="2952"/>
      <c r="O90" s="2952"/>
      <c r="P90" s="2976"/>
      <c r="Q90" s="2937"/>
      <c r="R90" s="2857"/>
      <c r="S90" s="2857"/>
      <c r="T90" s="2857"/>
      <c r="U90" s="2857"/>
      <c r="V90" s="2857"/>
      <c r="W90" s="2857"/>
      <c r="X90" s="2857"/>
      <c r="Y90" s="2857"/>
      <c r="Z90" s="2857"/>
      <c r="AA90" s="2857"/>
      <c r="AB90" s="2857"/>
      <c r="AC90" s="2857"/>
      <c r="AD90" s="2857"/>
      <c r="AE90" s="2857"/>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3"/>
      <c r="O91" s="2953"/>
      <c r="P91" s="2977"/>
      <c r="Q91" s="2944"/>
      <c r="R91" s="2945"/>
      <c r="S91" s="2945"/>
      <c r="T91" s="2945"/>
      <c r="U91" s="2945"/>
      <c r="V91" s="2945"/>
      <c r="W91" s="2945"/>
      <c r="X91" s="2945"/>
      <c r="Y91" s="2945"/>
      <c r="Z91" s="2945"/>
      <c r="AA91" s="2945"/>
      <c r="AB91" s="2945"/>
      <c r="AC91" s="2945"/>
      <c r="AD91" s="2945"/>
      <c r="AE91" s="2945"/>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53"/>
      <c r="O92" s="2953"/>
      <c r="P92" s="2977"/>
      <c r="Q92" s="2944"/>
      <c r="R92" s="2945"/>
      <c r="S92" s="2945"/>
      <c r="T92" s="2945"/>
      <c r="U92" s="2945"/>
      <c r="V92" s="2945"/>
      <c r="W92" s="2945"/>
      <c r="X92" s="2945"/>
      <c r="Y92" s="2945"/>
      <c r="Z92" s="2945"/>
      <c r="AA92" s="2945"/>
      <c r="AB92" s="2945"/>
      <c r="AC92" s="2945"/>
      <c r="AD92" s="2945"/>
      <c r="AE92" s="2945"/>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3"/>
      <c r="O93" s="2953"/>
      <c r="P93" s="2977"/>
      <c r="Q93" s="2944"/>
      <c r="R93" s="2945"/>
      <c r="S93" s="2945"/>
      <c r="T93" s="2945"/>
      <c r="U93" s="2945"/>
      <c r="V93" s="2945"/>
      <c r="W93" s="2945"/>
      <c r="X93" s="2945"/>
      <c r="Y93" s="2945"/>
      <c r="Z93" s="2945"/>
      <c r="AA93" s="2945"/>
      <c r="AB93" s="2945"/>
      <c r="AC93" s="2945"/>
      <c r="AD93" s="2945"/>
      <c r="AE93" s="2945"/>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0"/>
      <c r="B95" s="494" t="str">
        <f>B27</f>
        <v>临街状况</v>
      </c>
      <c r="C95" s="495" t="s">
        <v>2547</v>
      </c>
      <c r="D95" s="495" t="s">
        <v>2548</v>
      </c>
      <c r="E95" s="495" t="s">
        <v>2549</v>
      </c>
      <c r="F95" s="495" t="s">
        <v>2550</v>
      </c>
      <c r="G95" s="495"/>
      <c r="H95" s="495"/>
      <c r="I95" s="495"/>
      <c r="J95" s="495"/>
      <c r="K95" s="496"/>
      <c r="L95" s="497"/>
      <c r="M95" s="498"/>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0"/>
      <c r="B97" s="494" t="s">
        <v>2452</v>
      </c>
      <c r="C97" s="510"/>
      <c r="D97" s="510"/>
      <c r="E97" s="510"/>
      <c r="F97" s="510"/>
      <c r="G97" s="510"/>
      <c r="H97" s="539"/>
      <c r="I97" s="539"/>
      <c r="J97" s="539"/>
      <c r="K97" s="540"/>
      <c r="L97" s="541"/>
      <c r="M97" s="542"/>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0"/>
      <c r="B99" s="494" t="s">
        <v>2510</v>
      </c>
      <c r="C99" s="539"/>
      <c r="D99" s="539"/>
      <c r="E99" s="539"/>
      <c r="F99" s="539"/>
      <c r="G99" s="539"/>
      <c r="H99" s="539"/>
      <c r="I99" s="539"/>
      <c r="J99" s="539"/>
      <c r="K99" s="540"/>
      <c r="L99" s="541"/>
      <c r="M99" s="542"/>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0"/>
      <c r="B101" s="502">
        <f>B31</f>
        <v>111</v>
      </c>
      <c r="C101" s="510"/>
      <c r="D101" s="510"/>
      <c r="E101" s="510"/>
      <c r="F101" s="510"/>
      <c r="G101" s="543"/>
      <c r="H101" s="543"/>
      <c r="I101" s="543"/>
      <c r="J101" s="543"/>
      <c r="K101" s="544"/>
      <c r="L101" s="545"/>
      <c r="M101" s="546"/>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0"/>
      <c r="B102" s="525"/>
      <c r="C102" s="516"/>
      <c r="D102" s="492"/>
      <c r="E102" s="492"/>
      <c r="F102" s="492"/>
      <c r="G102" s="547"/>
      <c r="H102" s="547"/>
      <c r="I102" s="547"/>
      <c r="J102" s="547"/>
      <c r="K102" s="547"/>
      <c r="L102" s="547"/>
      <c r="M102" s="548"/>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0"/>
      <c r="B103" s="494">
        <f>B32</f>
        <v>111</v>
      </c>
      <c r="C103" s="510"/>
      <c r="D103" s="510"/>
      <c r="E103" s="510"/>
      <c r="F103" s="510"/>
      <c r="G103" s="539"/>
      <c r="H103" s="539"/>
      <c r="I103" s="539"/>
      <c r="J103" s="539"/>
      <c r="K103" s="540"/>
      <c r="L103" s="541"/>
      <c r="M103" s="542"/>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0"/>
      <c r="B104" s="499"/>
      <c r="C104" s="516"/>
      <c r="D104" s="516"/>
      <c r="E104" s="516"/>
      <c r="F104" s="516"/>
      <c r="G104" s="492"/>
      <c r="H104" s="492"/>
      <c r="I104" s="492"/>
      <c r="J104" s="492"/>
      <c r="K104" s="492"/>
      <c r="L104" s="492"/>
      <c r="M104" s="493"/>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29" customFormat="1" ht="15" thickTop="1">
      <c r="A105" s="549"/>
      <c r="B105" s="550">
        <f>B33</f>
        <v>111</v>
      </c>
      <c r="C105" s="479"/>
      <c r="D105" s="479"/>
      <c r="E105" s="479"/>
      <c r="F105" s="479"/>
      <c r="G105" s="551"/>
      <c r="H105" s="551"/>
      <c r="I105" s="551"/>
      <c r="J105" s="552"/>
      <c r="K105" s="552"/>
      <c r="L105" s="553"/>
      <c r="M105" s="554"/>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29" customFormat="1" ht="15.75" thickBot="1">
      <c r="A106" s="509"/>
      <c r="B106" s="502"/>
      <c r="C106" s="526"/>
      <c r="D106" s="526"/>
      <c r="E106" s="526"/>
      <c r="F106" s="526"/>
      <c r="G106" s="632"/>
      <c r="H106" s="632"/>
      <c r="I106" s="632"/>
      <c r="J106" s="632"/>
      <c r="K106" s="632"/>
      <c r="L106" s="632"/>
      <c r="M106" s="654"/>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3" t="s">
        <v>2324</v>
      </c>
      <c r="B107" s="484" t="s">
        <v>2551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0"/>
      <c r="B108" s="502"/>
      <c r="C108" s="551"/>
      <c r="D108" s="551"/>
      <c r="E108" s="551"/>
      <c r="F108" s="551"/>
      <c r="G108" s="551"/>
      <c r="H108" s="551"/>
      <c r="I108" s="551"/>
      <c r="J108" s="552"/>
      <c r="K108" s="552"/>
      <c r="L108" s="553"/>
      <c r="M108" s="554"/>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0"/>
      <c r="B109" s="499"/>
      <c r="C109" s="526"/>
      <c r="D109" s="547"/>
      <c r="E109" s="547"/>
      <c r="F109" s="547"/>
      <c r="G109" s="547"/>
      <c r="H109" s="547"/>
      <c r="I109" s="547"/>
      <c r="J109" s="547"/>
      <c r="K109" s="547"/>
      <c r="L109" s="547"/>
      <c r="M109" s="548"/>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5"/>
      <c r="B110" s="494" t="s">
        <v>2552</v>
      </c>
      <c r="C110" s="539"/>
      <c r="D110" s="539"/>
      <c r="E110" s="539"/>
      <c r="F110" s="539"/>
      <c r="G110" s="539"/>
      <c r="H110" s="539"/>
      <c r="I110" s="539"/>
      <c r="J110" s="539"/>
      <c r="K110" s="540"/>
      <c r="L110" s="541"/>
      <c r="M110" s="542"/>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29" customFormat="1" ht="15" thickTop="1">
      <c r="A112" s="549"/>
      <c r="B112" s="494" t="s">
        <v>2554</v>
      </c>
      <c r="C112" s="510"/>
      <c r="D112" s="510"/>
      <c r="E112" s="510"/>
      <c r="F112" s="510"/>
      <c r="G112" s="510"/>
      <c r="H112" s="539"/>
      <c r="I112" s="539"/>
      <c r="J112" s="539"/>
      <c r="K112" s="540"/>
      <c r="L112" s="541"/>
      <c r="M112" s="542"/>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5"/>
      <c r="B114" s="494" t="s">
        <v>2555</v>
      </c>
      <c r="C114" s="510"/>
      <c r="D114" s="510"/>
      <c r="E114" s="539"/>
      <c r="F114" s="539"/>
      <c r="G114" s="539"/>
      <c r="H114" s="539"/>
      <c r="I114" s="539"/>
      <c r="J114" s="539"/>
      <c r="K114" s="540"/>
      <c r="L114" s="541"/>
      <c r="M114" s="542"/>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5"/>
      <c r="B116" s="494">
        <f>B38</f>
        <v>111</v>
      </c>
      <c r="C116" s="510"/>
      <c r="D116" s="510"/>
      <c r="E116" s="510"/>
      <c r="F116" s="510"/>
      <c r="G116" s="510"/>
      <c r="H116" s="539"/>
      <c r="I116" s="539"/>
      <c r="J116" s="539"/>
      <c r="K116" s="540"/>
      <c r="L116" s="541"/>
      <c r="M116" s="542"/>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0"/>
      <c r="B117" s="499"/>
      <c r="C117" s="516"/>
      <c r="D117" s="492"/>
      <c r="E117" s="492"/>
      <c r="F117" s="492"/>
      <c r="G117" s="492"/>
      <c r="H117" s="492"/>
      <c r="I117" s="492"/>
      <c r="J117" s="492"/>
      <c r="K117" s="492"/>
      <c r="L117" s="492"/>
      <c r="M117" s="493"/>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5"/>
      <c r="B118" s="494">
        <f>B39</f>
        <v>111</v>
      </c>
      <c r="C118" s="510"/>
      <c r="D118" s="510"/>
      <c r="E118" s="510"/>
      <c r="F118" s="510"/>
      <c r="G118" s="539"/>
      <c r="H118" s="539"/>
      <c r="I118" s="539"/>
      <c r="J118" s="539"/>
      <c r="K118" s="540"/>
      <c r="L118" s="541"/>
      <c r="M118" s="542"/>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0"/>
      <c r="B119" s="499"/>
      <c r="C119" s="516"/>
      <c r="D119" s="516"/>
      <c r="E119" s="516"/>
      <c r="F119" s="516"/>
      <c r="G119" s="492"/>
      <c r="H119" s="492"/>
      <c r="I119" s="492"/>
      <c r="J119" s="492"/>
      <c r="K119" s="492"/>
      <c r="L119" s="492"/>
      <c r="M119" s="493"/>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29" customFormat="1" ht="15" thickTop="1">
      <c r="A120" s="549"/>
      <c r="B120" s="494">
        <f>B40</f>
        <v>111</v>
      </c>
      <c r="C120" s="479"/>
      <c r="D120" s="479"/>
      <c r="E120" s="479"/>
      <c r="F120" s="479"/>
      <c r="G120" s="511"/>
      <c r="H120" s="511"/>
      <c r="I120" s="511"/>
      <c r="J120" s="511"/>
      <c r="K120" s="511"/>
      <c r="L120" s="512"/>
      <c r="M120" s="513"/>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29" customFormat="1" ht="15.75" thickBot="1">
      <c r="A121" s="524"/>
      <c r="B121" s="655"/>
      <c r="C121" s="526"/>
      <c r="D121" s="526"/>
      <c r="E121" s="526"/>
      <c r="F121" s="526"/>
      <c r="G121" s="547"/>
      <c r="H121" s="547"/>
      <c r="I121" s="547"/>
      <c r="J121" s="547"/>
      <c r="K121" s="547"/>
      <c r="L121" s="547"/>
      <c r="M121" s="548"/>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700-000000000000}">
      <formula1>单价内涵</formula1>
    </dataValidation>
    <dataValidation type="list" allowBlank="1" showInputMessage="1" showErrorMessage="1" sqref="C22 E22 G22 I22" xr:uid="{00000000-0002-0000-2700-000001000000}">
      <formula1>环境</formula1>
    </dataValidation>
    <dataValidation type="list" allowBlank="1" showInputMessage="1" showErrorMessage="1" sqref="E18 C18 G18 I18" xr:uid="{00000000-0002-0000-2700-000002000000}">
      <formula1>交通便捷度</formula1>
    </dataValidation>
    <dataValidation type="list" allowBlank="1" showInputMessage="1" showErrorMessage="1" sqref="E24 C24 G24 I24" xr:uid="{00000000-0002-0000-2700-000003000000}">
      <formula1>公共配套设施</formula1>
    </dataValidation>
    <dataValidation type="list" allowBlank="1" showInputMessage="1" showErrorMessage="1" sqref="C8 E8 G8 I8" xr:uid="{00000000-0002-0000-2700-000004000000}">
      <formula1>套工交易情况</formula1>
    </dataValidation>
    <dataValidation type="list" allowBlank="1" showInputMessage="1" showErrorMessage="1" sqref="C9 E9 G9 I9" xr:uid="{00000000-0002-0000-2700-000005000000}">
      <formula1>套工用途</formula1>
    </dataValidation>
    <dataValidation type="list" allowBlank="1" showInputMessage="1" showErrorMessage="1" sqref="I30 E30 G30" xr:uid="{00000000-0002-0000-2700-000006000000}">
      <formula1>套工土地级别</formula1>
    </dataValidation>
    <dataValidation type="list" allowBlank="1" showInputMessage="1" showErrorMessage="1" sqref="C27 E27 G27 I27" xr:uid="{00000000-0002-0000-2700-000007000000}">
      <formula1>临街状况</formula1>
    </dataValidation>
    <dataValidation type="list" allowBlank="1" showInputMessage="1" showErrorMessage="1" sqref="E20 G20 I20 C20" xr:uid="{00000000-0002-0000-2700-000008000000}">
      <formula1>区域土地利用方向</formula1>
    </dataValidation>
    <dataValidation type="list" allowBlank="1" showInputMessage="1" showErrorMessage="1" sqref="C50" xr:uid="{00000000-0002-0000-2700-000009000000}">
      <formula1>"北京市系数,其他省市系数"</formula1>
    </dataValidation>
    <dataValidation type="list" allowBlank="1" showInputMessage="1" showErrorMessage="1" sqref="C16 E16 G16 I16" xr:uid="{00000000-0002-0000-2700-00000A000000}">
      <formula1>产业集聚程度</formula1>
    </dataValidation>
    <dataValidation type="list" allowBlank="1" showInputMessage="1" showErrorMessage="1" sqref="C29 E29 G29 I29" xr:uid="{00000000-0002-0000-2700-00000B000000}">
      <formula1>套工道路等级</formula1>
    </dataValidation>
    <dataValidation type="list" allowBlank="1" showInputMessage="1" showErrorMessage="1" sqref="C35 E35 G35 I35" xr:uid="{00000000-0002-0000-2700-00000C000000}">
      <formula1>套工宗地形状</formula1>
    </dataValidation>
    <dataValidation type="list" allowBlank="1" showInputMessage="1" showErrorMessage="1" sqref="C36 E36 G36 I36" xr:uid="{00000000-0002-0000-2700-00000D000000}">
      <formula1>套工宗地开发程度</formula1>
    </dataValidation>
    <dataValidation type="list" allowBlank="1" showInputMessage="1" showErrorMessage="1" sqref="C37 E37 G37 I37" xr:uid="{00000000-0002-0000-2700-00000E000000}">
      <formula1>套工地质条件</formula1>
    </dataValidation>
    <dataValidation type="list" allowBlank="1" showInputMessage="1" showErrorMessage="1" sqref="G58" xr:uid="{00000000-0002-0000-2700-00000F000000}">
      <formula1>"住宅,工业"</formula1>
    </dataValidation>
    <dataValidation type="list" allowBlank="1" showInputMessage="1" showErrorMessage="1" sqref="G57" xr:uid="{00000000-0002-0000-2700-000010000000}">
      <formula1>"商业,办公,住宅,工业"</formula1>
    </dataValidation>
    <dataValidation type="list" allowBlank="1" showInputMessage="1" showErrorMessage="1" sqref="D52:D60" xr:uid="{00000000-0002-0000-2700-000011000000}">
      <formula1>"25%,1"</formula1>
    </dataValidation>
    <dataValidation type="list" allowBlank="1" showInputMessage="1" showErrorMessage="1" sqref="C26 E26 G26 I26" xr:uid="{00000000-0002-0000-2700-000012000000}">
      <formula1>基础设施水平</formula1>
    </dataValidation>
    <dataValidation type="list" allowBlank="1" showInputMessage="1" showErrorMessage="1" sqref="D42" xr:uid="{00000000-0002-0000-27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18"/>
  <sheetViews>
    <sheetView view="pageBreakPreview" zoomScaleNormal="80" zoomScaleSheetLayoutView="100" workbookViewId="0">
      <selection activeCell="F11" sqref="F11"/>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3" customWidth="1"/>
    <col min="33" max="36" width="9.375" style="2219" customWidth="1"/>
    <col min="37" max="38" width="9.375" style="2153" customWidth="1"/>
    <col min="39" max="16384" width="12" style="2153"/>
  </cols>
  <sheetData>
    <row r="1" spans="1:36" ht="28.5">
      <c r="A1" s="201" t="s">
        <v>2564</v>
      </c>
      <c r="B1" s="202"/>
      <c r="C1" s="206" t="s">
        <v>2565</v>
      </c>
      <c r="D1" s="347">
        <f>SUM(D29:D30,D33:D39)</f>
        <v>20815.18</v>
      </c>
      <c r="E1" s="2150"/>
      <c r="F1" s="2150"/>
      <c r="G1" s="2150"/>
      <c r="H1" s="2150"/>
      <c r="I1" s="2150"/>
      <c r="J1" s="2150"/>
      <c r="K1" s="1251"/>
      <c r="L1" s="2151" t="s">
        <v>2566</v>
      </c>
      <c r="M1" s="993">
        <f>SUMPRODUCT((区片价!B5:B9=I2)*(区片价!C3:F3=E2)*(区片价!C5:F9))</f>
        <v>0</v>
      </c>
      <c r="N1" s="996">
        <f>SUMPRODUCT((因素修正幅度!B5:B9=I2)*(因素修正幅度!C3:F3=E2)*(因素修正幅度!C5:F9))</f>
        <v>0</v>
      </c>
      <c r="O1" s="2152"/>
      <c r="P1" s="2152"/>
      <c r="Q1" s="1251"/>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6" t="s">
        <v>2572</v>
      </c>
      <c r="B2" s="209">
        <f>C26</f>
        <v>6948</v>
      </c>
      <c r="C2" s="2154" t="s">
        <v>2573</v>
      </c>
      <c r="D2" s="2155" t="s">
        <v>2574</v>
      </c>
      <c r="E2" s="2156" t="s">
        <v>3170</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Ⅶ-兴2</v>
      </c>
      <c r="J2" s="2158"/>
      <c r="K2" s="1251"/>
      <c r="L2" s="2159" t="s">
        <v>2577</v>
      </c>
      <c r="M2" s="994">
        <f>SUMPRODUCT((区片价!B10:B28=I2)*(区片价!C3:F3=E2)*(区片价!C10:F28))</f>
        <v>0</v>
      </c>
      <c r="N2" s="996">
        <f>SUMPRODUCT((因素修正幅度!B10:B28=I2)*(因素修正幅度!C3:F3=E2)*(因素修正幅度!C10:F28))</f>
        <v>0</v>
      </c>
      <c r="O2" s="1251"/>
      <c r="P2" s="1251"/>
      <c r="Q2" s="1251"/>
      <c r="R2" s="1345">
        <v>1</v>
      </c>
      <c r="S2" s="1345">
        <f>ROUND(IF(G3&gt;1,IF(R2&lt;7,SUMPRODUCT((B93:B98=R2)*(C92:N92=G2)*(C93:N98)),SUMIF(C92:N92,G2,C100:N100)),IF(R2&lt;7,SUMPRODUCT((B102:B107=R2)*(C92:N92=G2)*(C102:N107)),SUMIF(C92:N92,G2,C109:N109))),4)</f>
        <v>1.8629</v>
      </c>
      <c r="T2" s="1345">
        <f>ROUND($C$5*$C$18*$C$19*$C$20*S2*$C$24,0)</f>
        <v>28014</v>
      </c>
      <c r="U2" s="1346"/>
      <c r="V2" s="1345">
        <f>ROUND(T2*U2/10000,0)</f>
        <v>0</v>
      </c>
      <c r="W2" s="1349"/>
      <c r="X2" s="1349"/>
      <c r="Y2" s="1349"/>
      <c r="Z2" s="1349"/>
      <c r="AA2" s="1349"/>
      <c r="AB2" s="1349"/>
      <c r="AC2" s="1350"/>
      <c r="AD2" s="1351"/>
      <c r="AE2" s="1351"/>
      <c r="AF2" s="1351"/>
      <c r="AG2" s="1351"/>
      <c r="AH2" s="1351"/>
      <c r="AI2" s="1351"/>
      <c r="AJ2" s="1352"/>
    </row>
    <row r="3" spans="1:36" ht="25.5">
      <c r="A3" s="208" t="s">
        <v>2578</v>
      </c>
      <c r="B3" s="209">
        <f>ROUND(B2*10000/D1,0)</f>
        <v>3338</v>
      </c>
      <c r="C3" s="2154" t="s">
        <v>2579</v>
      </c>
      <c r="D3" s="2155" t="s">
        <v>2580</v>
      </c>
      <c r="E3" s="2160" t="s">
        <v>3247</v>
      </c>
      <c r="F3" s="2161" t="s">
        <v>3248</v>
      </c>
      <c r="G3" s="854">
        <f>IF(F3="宗地容积率",'数据-汇总表'!I4,IF(F3="估价对象容积率",'数据-汇总表'!I6,'数据-汇总表'!I7))</f>
        <v>1.93</v>
      </c>
      <c r="H3" s="174" t="s">
        <v>2581</v>
      </c>
      <c r="I3" s="880"/>
      <c r="J3" s="2158" t="s">
        <v>2582</v>
      </c>
      <c r="K3" s="1251"/>
      <c r="L3" s="2159" t="s">
        <v>2583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1.3371999999999999</v>
      </c>
      <c r="T3" s="1345">
        <f t="shared" ref="T3:T16" si="0">ROUND($C$5*$C$18*$C$19*$C$20*S3*$C$24,0)</f>
        <v>20109</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58"/>
      <c r="B4" s="3559"/>
      <c r="C4" s="3559"/>
      <c r="D4" s="3560"/>
      <c r="E4" s="3560"/>
      <c r="F4" s="3560"/>
      <c r="G4" s="3560"/>
      <c r="H4" s="3560"/>
      <c r="I4" s="3560"/>
      <c r="J4" s="3561"/>
      <c r="K4" s="1251"/>
      <c r="L4" s="2159" t="s">
        <v>2584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1.0788</v>
      </c>
      <c r="T4" s="1345">
        <f t="shared" si="0"/>
        <v>16223</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2585</v>
      </c>
      <c r="C5" s="855">
        <f>ROUND(IF(E2="商业",C6*C7+C16,(IF(E2="住宅",C6*C12+C16,C6+C16))),0)</f>
        <v>8090</v>
      </c>
      <c r="D5" s="1492">
        <f>ROUND(C6+C16,0)</f>
        <v>8090</v>
      </c>
      <c r="E5" s="1492"/>
      <c r="F5" s="2164"/>
      <c r="G5" s="2165"/>
      <c r="H5" s="2165"/>
      <c r="I5" s="2165"/>
      <c r="J5" s="2166"/>
      <c r="K5" s="2167"/>
      <c r="L5" s="2159" t="s">
        <v>2586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0.86560000000000004</v>
      </c>
      <c r="T5" s="1345">
        <f t="shared" si="0"/>
        <v>13017</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2587</v>
      </c>
      <c r="B6" s="2173" t="s">
        <v>2588</v>
      </c>
      <c r="C6" s="856">
        <f>SUMIF(L1:L12,G2,M1:M12)</f>
        <v>8090</v>
      </c>
      <c r="D6" s="2174" t="s">
        <v>2589</v>
      </c>
      <c r="E6" s="2175"/>
      <c r="F6" s="2175"/>
      <c r="G6" s="2176"/>
      <c r="H6" s="2176"/>
      <c r="I6" s="2176"/>
      <c r="J6" s="2177"/>
      <c r="K6" s="1537"/>
      <c r="L6" s="2159" t="s">
        <v>2590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0.73709999999999998</v>
      </c>
      <c r="T6" s="1345">
        <f t="shared" si="0"/>
        <v>11085</v>
      </c>
      <c r="U6" s="1346"/>
      <c r="V6" s="1345">
        <f t="shared" si="1"/>
        <v>0</v>
      </c>
      <c r="W6" s="1349"/>
      <c r="X6" s="1349"/>
      <c r="Y6" s="1349"/>
      <c r="Z6" s="1349"/>
      <c r="AA6" s="1349"/>
      <c r="AB6" s="1349"/>
      <c r="AC6" s="2168"/>
      <c r="AD6" s="2169"/>
      <c r="AE6" s="2169"/>
      <c r="AF6" s="2169"/>
      <c r="AG6" s="2169"/>
      <c r="AH6" s="2169"/>
      <c r="AI6" s="2169"/>
      <c r="AJ6" s="2170"/>
    </row>
    <row r="7" spans="1:36" ht="24">
      <c r="A7" s="3562" t="str">
        <f>IF(E2="商业",IF(C8="不临58条商业街","",2),"")</f>
        <v/>
      </c>
      <c r="B7" s="2178" t="s">
        <v>2591</v>
      </c>
      <c r="C7" s="857">
        <f>IF(C8="不临58条商业街",1,ROUND(1+(1.6*E8+1.2*E9+0.8*E10+0.4*E11)*C9,4))</f>
        <v>1</v>
      </c>
      <c r="D7" s="2179" t="s">
        <v>2592</v>
      </c>
      <c r="E7" s="881">
        <v>6</v>
      </c>
      <c r="F7" s="2180"/>
      <c r="G7" s="2181"/>
      <c r="H7" s="2181"/>
      <c r="I7" s="2181"/>
      <c r="J7" s="2182"/>
      <c r="K7" s="1537"/>
      <c r="L7" s="2159" t="s">
        <v>2593</v>
      </c>
      <c r="M7" s="994">
        <f>SUMPRODUCT((区片价!B158:B205=I2)*(区片价!C3:F3=E2)*(区片价!C158:F205))</f>
        <v>8090</v>
      </c>
      <c r="N7" s="996">
        <f>SUMPRODUCT((因素修正幅度!B158:B205=I2)*(因素修正幅度!C3:F3=E2)*(因素修正幅度!C158:F205))</f>
        <v>0.13</v>
      </c>
      <c r="O7" s="1251"/>
      <c r="P7" s="1251"/>
      <c r="Q7" s="1251"/>
      <c r="R7" s="1345">
        <v>6</v>
      </c>
      <c r="S7" s="1345">
        <f>ROUND(IF(G3&gt;1,IF(R7&lt;7,SUMPRODUCT((B93:B98=R7)*(C92:N92=G2)*(C93:N98)),SUMIF(C92:N92,G2,C100:N100)),IF(R7&lt;7,SUMPRODUCT((B102:B107=R7)*(C92:N92=G2)*(C102:N107)),SUMIF(C92:N92,G2,C109:N109))),4)</f>
        <v>0.6482</v>
      </c>
      <c r="T7" s="1345">
        <f t="shared" si="0"/>
        <v>9748</v>
      </c>
      <c r="U7" s="1346"/>
      <c r="V7" s="1345">
        <f t="shared" si="1"/>
        <v>0</v>
      </c>
      <c r="W7" s="1511" t="s">
        <v>2594</v>
      </c>
      <c r="X7" s="1347" t="str">
        <f>G2</f>
        <v>七级</v>
      </c>
      <c r="Y7" s="1347" t="s">
        <v>2595</v>
      </c>
      <c r="Z7" s="1348">
        <f>G3</f>
        <v>1.93</v>
      </c>
      <c r="AA7" s="1349"/>
      <c r="AB7" s="1349"/>
      <c r="AC7" s="1350"/>
      <c r="AD7" s="1351"/>
      <c r="AE7" s="1351"/>
      <c r="AF7" s="1351"/>
      <c r="AG7" s="1351"/>
      <c r="AH7" s="1351"/>
      <c r="AI7" s="1351"/>
      <c r="AJ7" s="1352"/>
    </row>
    <row r="8" spans="1:36" ht="25.5">
      <c r="A8" s="3563"/>
      <c r="B8" s="174" t="s">
        <v>2596</v>
      </c>
      <c r="C8" s="2183" t="s">
        <v>3249</v>
      </c>
      <c r="D8" s="858" t="s">
        <v>139</v>
      </c>
      <c r="E8" s="859">
        <f>ROUND(C11/E7,4)</f>
        <v>0</v>
      </c>
      <c r="F8" s="2184" t="s">
        <v>2597</v>
      </c>
      <c r="G8" s="2185"/>
      <c r="H8" s="2185"/>
      <c r="I8" s="2185"/>
      <c r="J8" s="2186"/>
      <c r="K8" s="1251"/>
      <c r="L8" s="2159" t="s">
        <v>2598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555" t="s">
        <v>2599</v>
      </c>
      <c r="X8" s="3556"/>
      <c r="Y8" s="1353" t="s">
        <v>2600</v>
      </c>
      <c r="Z8" s="1353" t="s">
        <v>2601</v>
      </c>
      <c r="AA8" s="1353" t="s">
        <v>2602</v>
      </c>
      <c r="AB8" s="1353" t="s">
        <v>2603</v>
      </c>
      <c r="AC8" s="1353" t="s">
        <v>2604</v>
      </c>
      <c r="AD8" s="1353" t="s">
        <v>2605</v>
      </c>
      <c r="AE8" s="1353" t="s">
        <v>2606</v>
      </c>
      <c r="AF8" s="1353" t="s">
        <v>2607</v>
      </c>
      <c r="AG8" s="1353" t="s">
        <v>2608</v>
      </c>
      <c r="AH8" s="1353" t="s">
        <v>2609</v>
      </c>
      <c r="AI8" s="1353" t="s">
        <v>2610</v>
      </c>
      <c r="AJ8" s="1353" t="s">
        <v>2611</v>
      </c>
    </row>
    <row r="9" spans="1:36" ht="15">
      <c r="A9" s="3563"/>
      <c r="B9" s="174" t="s">
        <v>2612</v>
      </c>
      <c r="C9" s="860">
        <f>SUMIF(修正!C59:C119,C8,修正!E59:E119)</f>
        <v>0</v>
      </c>
      <c r="D9" s="175" t="s">
        <v>140</v>
      </c>
      <c r="E9" s="175">
        <f>ROUND(C11/E7,4)</f>
        <v>0</v>
      </c>
      <c r="F9" s="2184" t="s">
        <v>2613</v>
      </c>
      <c r="G9" s="2185"/>
      <c r="H9" s="2185"/>
      <c r="I9" s="2185"/>
      <c r="J9" s="2186"/>
      <c r="K9" s="1251"/>
      <c r="L9" s="2159" t="s">
        <v>2614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557" t="s">
        <v>2615</v>
      </c>
      <c r="X9" s="1354" t="s">
        <v>2616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63"/>
      <c r="B10" s="174" t="s">
        <v>2617</v>
      </c>
      <c r="C10" s="175">
        <f>SUMIF(修正!C59:C119,C8,修正!F59:F119)</f>
        <v>0</v>
      </c>
      <c r="D10" s="175" t="s">
        <v>141</v>
      </c>
      <c r="E10" s="175">
        <f>ROUND(C11/E7,4)</f>
        <v>0</v>
      </c>
      <c r="F10" s="2184" t="s">
        <v>2618</v>
      </c>
      <c r="G10" s="2185"/>
      <c r="H10" s="2185"/>
      <c r="I10" s="2185"/>
      <c r="J10" s="2186"/>
      <c r="K10" s="1251"/>
      <c r="L10" s="2159" t="s">
        <v>2619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557"/>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63"/>
      <c r="B11" s="2187" t="s">
        <v>2620</v>
      </c>
      <c r="C11" s="861">
        <f>C10/4</f>
        <v>0</v>
      </c>
      <c r="D11" s="861" t="s">
        <v>142</v>
      </c>
      <c r="E11" s="861">
        <f>ROUND(C11/E7,4)</f>
        <v>0</v>
      </c>
      <c r="F11" s="2188" t="s">
        <v>2621</v>
      </c>
      <c r="G11" s="2189"/>
      <c r="H11" s="2189"/>
      <c r="I11" s="2189"/>
      <c r="J11" s="2190"/>
      <c r="K11" s="1251"/>
      <c r="L11" s="2159" t="s">
        <v>2622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557" t="s">
        <v>2623</v>
      </c>
      <c r="X11" s="1357" t="s">
        <v>2624</v>
      </c>
      <c r="Y11" s="1358">
        <f>$G$3</f>
        <v>1.93</v>
      </c>
      <c r="Z11" s="1358">
        <f t="shared" ref="Z11:AJ11" si="3">$G$3</f>
        <v>1.93</v>
      </c>
      <c r="AA11" s="1358">
        <f t="shared" si="3"/>
        <v>1.93</v>
      </c>
      <c r="AB11" s="1358">
        <f t="shared" si="3"/>
        <v>1.93</v>
      </c>
      <c r="AC11" s="1358">
        <f t="shared" si="3"/>
        <v>1.93</v>
      </c>
      <c r="AD11" s="1358">
        <f t="shared" si="3"/>
        <v>1.93</v>
      </c>
      <c r="AE11" s="1358">
        <f t="shared" si="3"/>
        <v>1.93</v>
      </c>
      <c r="AF11" s="1358">
        <f t="shared" si="3"/>
        <v>1.93</v>
      </c>
      <c r="AG11" s="1358">
        <f t="shared" si="3"/>
        <v>1.93</v>
      </c>
      <c r="AH11" s="1358">
        <f t="shared" si="3"/>
        <v>1.93</v>
      </c>
      <c r="AI11" s="1358">
        <f t="shared" si="3"/>
        <v>1.93</v>
      </c>
      <c r="AJ11" s="1358">
        <f t="shared" si="3"/>
        <v>1.93</v>
      </c>
    </row>
    <row r="12" spans="1:36" ht="25.5" thickBot="1">
      <c r="A12" s="3562" t="s">
        <v>2625</v>
      </c>
      <c r="B12" s="2191" t="s">
        <v>2626</v>
      </c>
      <c r="C12" s="857">
        <f>ROUND(C15*D15*E15*F15*G15*H15*I15*J15,4)</f>
        <v>1</v>
      </c>
      <c r="D12" s="2192" t="s">
        <v>2627</v>
      </c>
      <c r="E12" s="2193"/>
      <c r="F12" s="2193"/>
      <c r="G12" s="2194"/>
      <c r="H12" s="2194"/>
      <c r="I12" s="2194"/>
      <c r="J12" s="2195"/>
      <c r="K12" s="1251"/>
      <c r="L12" s="2196" t="s">
        <v>2628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557"/>
      <c r="X12" s="1359" t="s">
        <v>2629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64"/>
      <c r="B13" s="2197" t="s">
        <v>2630</v>
      </c>
      <c r="C13" s="2198" t="s">
        <v>2631</v>
      </c>
      <c r="D13" s="1503" t="s">
        <v>2632</v>
      </c>
      <c r="E13" s="1503" t="s">
        <v>2633</v>
      </c>
      <c r="F13" s="30" t="s">
        <v>2634</v>
      </c>
      <c r="G13" s="2199" t="s">
        <v>2635</v>
      </c>
      <c r="H13" s="2199" t="s">
        <v>2635</v>
      </c>
      <c r="I13" s="2199" t="s">
        <v>2635</v>
      </c>
      <c r="J13" s="2200" t="s">
        <v>2635</v>
      </c>
      <c r="K13" s="1251"/>
      <c r="L13" s="1251"/>
      <c r="M13" s="1251"/>
      <c r="N13" s="1251"/>
      <c r="O13" s="1251"/>
      <c r="P13" s="1251"/>
      <c r="Q13" s="1251"/>
      <c r="R13" s="1345">
        <v>12</v>
      </c>
      <c r="S13" s="1346"/>
      <c r="T13" s="1345">
        <f t="shared" si="0"/>
        <v>0</v>
      </c>
      <c r="U13" s="1346"/>
      <c r="V13" s="1345">
        <f t="shared" si="1"/>
        <v>0</v>
      </c>
      <c r="W13" s="3557"/>
      <c r="X13" s="1359"/>
      <c r="Y13" s="1356">
        <f>(-0.163*(Y12^2)-0.59*Y12+7617)*(10^(-4))/Y11</f>
        <v>0.39466321243523317</v>
      </c>
      <c r="Z13" s="1356">
        <f t="shared" ref="Z13:AJ13" si="5">(-0.163*(Z12^2)-0.59*Z12+7617)*(10^(-4))/Z11</f>
        <v>0.39466321243523317</v>
      </c>
      <c r="AA13" s="1356">
        <f t="shared" si="5"/>
        <v>0.39466321243523317</v>
      </c>
      <c r="AB13" s="1356">
        <f t="shared" si="5"/>
        <v>0.39466321243523317</v>
      </c>
      <c r="AC13" s="1356">
        <f t="shared" si="5"/>
        <v>0.39466321243523317</v>
      </c>
      <c r="AD13" s="1356">
        <f t="shared" si="5"/>
        <v>0.39466321243523317</v>
      </c>
      <c r="AE13" s="1356">
        <f t="shared" si="5"/>
        <v>0.39466321243523317</v>
      </c>
      <c r="AF13" s="1356">
        <f t="shared" si="5"/>
        <v>0.39466321243523317</v>
      </c>
      <c r="AG13" s="1356">
        <f t="shared" si="5"/>
        <v>0.39466321243523317</v>
      </c>
      <c r="AH13" s="1356">
        <f t="shared" si="5"/>
        <v>0.39466321243523317</v>
      </c>
      <c r="AI13" s="1356">
        <f t="shared" si="5"/>
        <v>0.39466321243523317</v>
      </c>
      <c r="AJ13" s="1356">
        <f t="shared" si="5"/>
        <v>0.39466321243523317</v>
      </c>
    </row>
    <row r="14" spans="1:36" ht="15">
      <c r="A14" s="3564"/>
      <c r="B14" s="2201"/>
      <c r="C14" s="2202" t="s">
        <v>3250</v>
      </c>
      <c r="D14" s="2203" t="s">
        <v>3250</v>
      </c>
      <c r="E14" s="2203" t="s">
        <v>3250</v>
      </c>
      <c r="F14" s="2204" t="s">
        <v>3251</v>
      </c>
      <c r="G14" s="2205" t="s">
        <v>2636</v>
      </c>
      <c r="H14" s="2206"/>
      <c r="I14" s="2207"/>
      <c r="J14" s="220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65"/>
      <c r="B15" s="2209" t="s">
        <v>2637</v>
      </c>
      <c r="C15" s="192">
        <f>IF(C14="有",1.1,1)</f>
        <v>1</v>
      </c>
      <c r="D15" s="192">
        <f>IF(D14="有",1.1,1)</f>
        <v>1</v>
      </c>
      <c r="E15" s="192">
        <f>IF(E14="有",1.1,1)</f>
        <v>1</v>
      </c>
      <c r="F15" s="192">
        <f>IF(F14="500米范围内",1.2,IF(F14="500-1000米",1.1,1))</f>
        <v>1</v>
      </c>
      <c r="G15" s="882">
        <v>1</v>
      </c>
      <c r="H15" s="882">
        <v>1</v>
      </c>
      <c r="I15" s="882">
        <v>1</v>
      </c>
      <c r="J15" s="883">
        <v>1</v>
      </c>
      <c r="K15" s="1251"/>
      <c r="L15" s="2152"/>
      <c r="M15" s="2152"/>
      <c r="N15" s="2152"/>
      <c r="O15" s="2152"/>
      <c r="P15" s="2152"/>
      <c r="Q15" s="1251"/>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62" t="s">
        <v>2642</v>
      </c>
      <c r="B16" s="2178" t="s">
        <v>2643</v>
      </c>
      <c r="C16" s="2340">
        <f>ROUND(IF(F17="与级别开发程度一致",0,(G17-E17)/C17),0)</f>
        <v>0</v>
      </c>
      <c r="D16" s="3578" t="s">
        <v>2647</v>
      </c>
      <c r="E16" s="3579"/>
      <c r="F16" s="3578" t="s">
        <v>2644</v>
      </c>
      <c r="G16" s="3579"/>
      <c r="H16" s="2210" t="s">
        <v>3252</v>
      </c>
      <c r="I16" s="2210" t="s">
        <v>3253</v>
      </c>
      <c r="J16" s="2344" t="s">
        <v>3254</v>
      </c>
      <c r="K16" s="2210" t="s">
        <v>3255</v>
      </c>
      <c r="L16" s="2210" t="s">
        <v>3256</v>
      </c>
      <c r="M16" s="2210" t="s">
        <v>3257</v>
      </c>
      <c r="N16" s="2210" t="s">
        <v>3258</v>
      </c>
      <c r="O16" s="2211" t="s">
        <v>3259</v>
      </c>
      <c r="P16" s="2152"/>
      <c r="Q16" s="1251"/>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66"/>
      <c r="B17" s="2351" t="s">
        <v>2646</v>
      </c>
      <c r="C17" s="2352">
        <f>SUMPRODUCT((修正!A2:A5=E2)*(修正!B1:M1=G2)*(修正!B2:M5))</f>
        <v>2.5</v>
      </c>
      <c r="D17" s="192" t="str">
        <f>IF(OR(G2="八级",G2="九级",G2="十级",G2="十一级",G2="十二级"),"五通一平","七通一平")</f>
        <v>七通一平</v>
      </c>
      <c r="E17" s="2341">
        <f>SUMPRODUCT((修正!B1:M1=G2)*(修正!B15:M15))</f>
        <v>300</v>
      </c>
      <c r="F17" s="2342" t="s">
        <v>3260</v>
      </c>
      <c r="G17" s="2343">
        <f>SUM(H17:O17)</f>
        <v>300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40</v>
      </c>
      <c r="O17" s="2354">
        <f>SUMPRODUCT((七通一平=O16)*(修正!B1:M1=G2)*(修正!B6:M14))</f>
        <v>15</v>
      </c>
      <c r="P17" s="2152"/>
      <c r="Q17" s="1251"/>
      <c r="R17" s="1251"/>
      <c r="S17" s="1251"/>
      <c r="T17" s="1251"/>
      <c r="U17" s="1251"/>
      <c r="V17" s="1251"/>
      <c r="W17" s="1251"/>
      <c r="X17" s="1251"/>
      <c r="Y17" s="1251"/>
      <c r="Z17" s="1252"/>
      <c r="AA17" s="1252"/>
      <c r="AB17" s="1252"/>
      <c r="AC17" s="1252"/>
      <c r="AD17" s="1252"/>
      <c r="AE17" s="1251"/>
      <c r="AF17" s="1251"/>
      <c r="AG17" s="2152"/>
      <c r="AH17" s="2152"/>
      <c r="AI17" s="2152"/>
      <c r="AJ17" s="2152"/>
    </row>
    <row r="18" spans="1:37" s="2171" customFormat="1" ht="15.75" thickBot="1">
      <c r="A18" s="2345" t="s">
        <v>808</v>
      </c>
      <c r="B18" s="2346" t="s">
        <v>2649</v>
      </c>
      <c r="C18" s="2347">
        <f>SUMIF(修正!C18:C39,E3,修正!E18:E39)</f>
        <v>1</v>
      </c>
      <c r="D18" s="2348"/>
      <c r="E18" s="2349"/>
      <c r="F18" s="2349"/>
      <c r="G18" s="2349"/>
      <c r="H18" s="2349"/>
      <c r="I18" s="2349"/>
      <c r="J18" s="2350"/>
      <c r="K18" s="1258"/>
      <c r="L18" s="2988"/>
      <c r="M18" s="2988"/>
      <c r="N18" s="2988"/>
      <c r="O18" s="1256"/>
      <c r="P18" s="1256"/>
      <c r="Q18" s="1257"/>
      <c r="R18" s="1257"/>
      <c r="S18" s="1257"/>
      <c r="T18" s="1252"/>
      <c r="U18" s="1252"/>
      <c r="V18" s="1252"/>
      <c r="W18" s="1251"/>
      <c r="X18" s="1251"/>
      <c r="Y18" s="1251"/>
      <c r="Z18" s="1258"/>
      <c r="AA18" s="1258"/>
      <c r="AB18" s="1258"/>
      <c r="AC18" s="1258"/>
      <c r="AD18" s="1258"/>
      <c r="AE18" s="1252"/>
      <c r="AF18" s="1252"/>
      <c r="AG18" s="2309"/>
      <c r="AH18" s="2309"/>
      <c r="AI18" s="2309"/>
      <c r="AJ18" s="2988"/>
    </row>
    <row r="19" spans="1:37" s="2171" customFormat="1" ht="29.25" thickBot="1">
      <c r="A19" s="2215" t="s">
        <v>809</v>
      </c>
      <c r="B19" s="2216" t="s">
        <v>2650</v>
      </c>
      <c r="C19" s="862">
        <f>ROUND(IF(H19="按公示增长率计算",SUMPRODUCT((地价!A3:A37=YEAR(G19)&amp;"-"&amp;ROUNDUP(MONTH(G19)/3,0))*(地价!X2:AB2=E2)*(地价!X3:AB37)),IF(H19="地价指数",M20/M19,(1+I19)^O19)),4)</f>
        <v>1.7434000000000001</v>
      </c>
      <c r="D19" s="2220" t="s">
        <v>2651</v>
      </c>
      <c r="E19" s="863">
        <v>41640</v>
      </c>
      <c r="F19" s="2220" t="s">
        <v>2652</v>
      </c>
      <c r="G19" s="864">
        <f>'数据-取费表'!B2</f>
        <v>44617</v>
      </c>
      <c r="H19" s="2221" t="s">
        <v>3261</v>
      </c>
      <c r="I19" s="865" t="str">
        <f>IF(H19="季度增幅（自定义）",SUMIF(N21:N24,E2,O21:O24),"")</f>
        <v/>
      </c>
      <c r="J19" s="2218"/>
      <c r="K19" s="1258"/>
      <c r="L19" s="2222" t="s">
        <v>2653</v>
      </c>
      <c r="M19" s="1467">
        <f>ROUND(SUMIF(地价!B2:F2,E2,地价!B37:F37),0)</f>
        <v>423</v>
      </c>
      <c r="N19" s="2223"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1"/>
      <c r="AH19" s="2309"/>
      <c r="AI19" s="2992"/>
      <c r="AJ19" s="2992"/>
      <c r="AK19" s="2224"/>
    </row>
    <row r="20" spans="1:37" s="2171" customFormat="1" ht="27.75" thickBot="1">
      <c r="A20" s="2225" t="s">
        <v>810</v>
      </c>
      <c r="B20" s="2226" t="s">
        <v>2655</v>
      </c>
      <c r="C20" s="867">
        <f>ROUND(POWER(1+G20,J20-I20)*(POWER(1+G20,I20)-1)/(POWER(1+G20,J20)-1),4)</f>
        <v>0.99880000000000002</v>
      </c>
      <c r="D20" s="2227" t="s">
        <v>2656</v>
      </c>
      <c r="E20" s="1474">
        <f>存贷款利率!E20/100</f>
        <v>4.3499999999999997E-2</v>
      </c>
      <c r="F20" s="2227" t="s">
        <v>2648</v>
      </c>
      <c r="G20" s="872">
        <f>SUMIF(M26:P26,E2,M28:P28)</f>
        <v>0.05</v>
      </c>
      <c r="H20" s="2227" t="s">
        <v>2657</v>
      </c>
      <c r="I20" s="873">
        <f>SUMIF('数据-取费表'!C6:C15,E2,'数据-取费表'!F6:F15)/COUNTIF('数据-取费表'!C6:C15,E2)</f>
        <v>69.260000000000005</v>
      </c>
      <c r="J20" s="874">
        <f>IF(E2="住宅",70,IF(E2="商业",40,50))</f>
        <v>70</v>
      </c>
      <c r="K20" s="1258"/>
      <c r="L20" s="2228" t="s">
        <v>2658</v>
      </c>
      <c r="M20" s="1468">
        <f>ROUND(SUMPRODUCT((地价!A4:A37=YEAR(G19)&amp;"-"&amp;ROUNDUP(MONTH(G19)/3,0))*(地价!B2:F2=E2)*(地价!B4:F37)),0)</f>
        <v>737</v>
      </c>
      <c r="N20" s="2229" t="s">
        <v>2659</v>
      </c>
      <c r="O20" s="2230" t="s">
        <v>2660</v>
      </c>
      <c r="P20" s="2231" t="s">
        <v>2661</v>
      </c>
      <c r="Q20" s="2988"/>
      <c r="R20" s="1257"/>
      <c r="S20" s="1257"/>
      <c r="T20" s="1252"/>
      <c r="U20" s="1252"/>
      <c r="V20" s="1252"/>
      <c r="W20" s="1251"/>
      <c r="X20" s="1251"/>
      <c r="Y20" s="1251"/>
      <c r="Z20" s="1258"/>
      <c r="AA20" s="1258"/>
      <c r="AB20" s="1258"/>
      <c r="AC20" s="1258"/>
      <c r="AD20" s="1258"/>
      <c r="AE20" s="1258"/>
      <c r="AF20" s="1258"/>
      <c r="AG20" s="2988"/>
      <c r="AH20" s="2988"/>
      <c r="AI20" s="2988"/>
      <c r="AJ20" s="2988"/>
    </row>
    <row r="21" spans="1:37" s="2171" customFormat="1" ht="15">
      <c r="A21" s="2232" t="s">
        <v>811</v>
      </c>
      <c r="B21" s="2233" t="s">
        <v>3262</v>
      </c>
      <c r="C21" s="875">
        <f>IF(B21="容积率修正",IF(G3&lt;=10,D22,J22),C23)</f>
        <v>1.0699000000000001</v>
      </c>
      <c r="D21" s="2234"/>
      <c r="E21" s="2234"/>
      <c r="F21" s="2234"/>
      <c r="G21" s="2234"/>
      <c r="H21" s="2234"/>
      <c r="I21" s="2234"/>
      <c r="J21" s="2235"/>
      <c r="K21" s="1258"/>
      <c r="L21" s="2988"/>
      <c r="M21" s="2988"/>
      <c r="N21" s="2236" t="s">
        <v>2662</v>
      </c>
      <c r="O21" s="1306"/>
      <c r="P21" s="1307">
        <f>SUMPRODUCT((地价!A3:A37=YEAR(G19)&amp;"-"&amp;ROUNDUP(MONTH(G19)/3,0))*(地价!AD2:AH2=N21)*(地价!AD3:AH37))</f>
        <v>1.03E-2</v>
      </c>
      <c r="Q21" s="2988"/>
      <c r="R21" s="1257"/>
      <c r="S21" s="1257"/>
      <c r="T21" s="1252"/>
      <c r="U21" s="1252"/>
      <c r="V21" s="1252"/>
      <c r="W21" s="1251"/>
      <c r="X21" s="1251"/>
      <c r="Y21" s="1251"/>
      <c r="Z21" s="1258"/>
      <c r="AA21" s="1258"/>
      <c r="AB21" s="1258"/>
      <c r="AC21" s="1258"/>
      <c r="AD21" s="1258"/>
      <c r="AE21" s="1258"/>
      <c r="AF21" s="1258"/>
      <c r="AG21" s="2988"/>
      <c r="AH21" s="2988"/>
      <c r="AI21" s="2988"/>
      <c r="AJ21" s="2988"/>
    </row>
    <row r="22" spans="1:37" s="2171" customFormat="1" ht="14.25">
      <c r="A22" s="2110" t="s">
        <v>2663</v>
      </c>
      <c r="B22" s="2237" t="s">
        <v>2664</v>
      </c>
      <c r="C22" s="1505" t="s">
        <v>2665</v>
      </c>
      <c r="D22" s="1505">
        <f>IF(E22=G22,F22,IF(G3&lt;=10,ROUND(F22+(H22-F22)*(G3-E22)/(G22-E22),4),"——"))</f>
        <v>1.0699000000000001</v>
      </c>
      <c r="E22" s="854">
        <f>ROUNDDOWN(G3,1)</f>
        <v>1.9</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1.0741000000000001</v>
      </c>
      <c r="G22" s="854">
        <f>ROUNDUP(G3,1)</f>
        <v>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1.0601</v>
      </c>
      <c r="I22" s="1505" t="s">
        <v>155</v>
      </c>
      <c r="J22" s="876" t="str">
        <f>IF(G3&gt;10,D113,"——")</f>
        <v>——</v>
      </c>
      <c r="K22" s="1258"/>
      <c r="L22" s="2988"/>
      <c r="M22" s="2988"/>
      <c r="N22" s="2236" t="s">
        <v>2666</v>
      </c>
      <c r="O22" s="1306"/>
      <c r="P22" s="1307">
        <f>SUMPRODUCT((地价!A3:A37=YEAR(G19)&amp;"-"&amp;ROUNDUP(MONTH(G19)/3,0))*(地价!AD2:AH2=N22)*(地价!AD3:AH37))</f>
        <v>1.03E-2</v>
      </c>
      <c r="Q22" s="2988"/>
      <c r="R22" s="1257"/>
      <c r="S22" s="1257"/>
      <c r="T22" s="1252"/>
      <c r="U22" s="1252"/>
      <c r="V22" s="1252"/>
      <c r="W22" s="1251"/>
      <c r="X22" s="1251"/>
      <c r="Y22" s="1251"/>
      <c r="Z22" s="1258"/>
      <c r="AA22" s="1258"/>
      <c r="AB22" s="1258"/>
      <c r="AC22" s="1258"/>
      <c r="AD22" s="1258"/>
      <c r="AE22" s="1258"/>
      <c r="AF22" s="1258"/>
      <c r="AG22" s="2988"/>
      <c r="AH22" s="2988"/>
      <c r="AI22" s="2988"/>
      <c r="AJ22" s="2988"/>
    </row>
    <row r="23" spans="1:37" ht="27.75" thickBot="1">
      <c r="A23" s="2110" t="s">
        <v>2667</v>
      </c>
      <c r="B23" s="2238" t="s">
        <v>2668</v>
      </c>
      <c r="C23" s="949">
        <f>ROUND(IF(G3&gt;1,IF(I3&lt;7,SUMPRODUCT((B93:B98=I3)*(C92:N92=G2)*(C93:N98)),SUMIF(C92:N92,G2,C100:N100)),IF(I3&lt;7,SUMPRODUCT((B102:B107=I3)*(C92:N92=G2)*(C102:N107)),SUMIF(C92:N92,G2,C109:N109))),4)</f>
        <v>0</v>
      </c>
      <c r="D23" s="2206"/>
      <c r="E23" s="2206"/>
      <c r="F23" s="2239"/>
      <c r="G23" s="2240"/>
      <c r="H23" s="2241"/>
      <c r="I23" s="2242"/>
      <c r="J23" s="2243"/>
      <c r="K23" s="1251"/>
      <c r="L23" s="2152"/>
      <c r="M23" s="2152"/>
      <c r="N23" s="2236" t="s">
        <v>2669</v>
      </c>
      <c r="O23" s="1306"/>
      <c r="P23" s="1307">
        <f>SUMPRODUCT((地价!A3:A37=YEAR(G19)&amp;"-"&amp;ROUNDUP(MONTH(G19)/3,0))*(地价!AD2:AH2=N23)*(地价!AD3:AH37))</f>
        <v>1.8100000000000002E-2</v>
      </c>
      <c r="Q23" s="2152"/>
      <c r="R23" s="1257"/>
      <c r="S23" s="1257"/>
      <c r="T23" s="1252"/>
      <c r="U23" s="1252"/>
      <c r="V23" s="1252"/>
      <c r="W23" s="1251"/>
      <c r="X23" s="1251"/>
      <c r="Y23" s="1251"/>
      <c r="Z23" s="1258"/>
      <c r="AA23" s="1258"/>
      <c r="AB23" s="1258"/>
      <c r="AC23" s="1258"/>
      <c r="AD23" s="1258"/>
      <c r="AE23" s="1252"/>
      <c r="AF23" s="1252"/>
      <c r="AG23" s="2309"/>
      <c r="AH23" s="2309"/>
      <c r="AI23" s="2309"/>
      <c r="AJ23" s="2309"/>
      <c r="AK23" s="2219"/>
    </row>
    <row r="24" spans="1:37" s="2171" customFormat="1" ht="15.75" thickBot="1">
      <c r="A24" s="2225" t="s">
        <v>812</v>
      </c>
      <c r="B24" s="2216" t="s">
        <v>2670</v>
      </c>
      <c r="C24" s="862">
        <f>SUMIF(A45:A88,E2,B45:B88)</f>
        <v>1.0674999999999999</v>
      </c>
      <c r="D24" s="2217"/>
      <c r="E24" s="2244"/>
      <c r="F24" s="2244"/>
      <c r="G24" s="2244"/>
      <c r="H24" s="2244"/>
      <c r="I24" s="2244"/>
      <c r="J24" s="2245"/>
      <c r="K24" s="1258"/>
      <c r="L24" s="2988"/>
      <c r="M24" s="2988"/>
      <c r="N24" s="2246" t="s">
        <v>2671</v>
      </c>
      <c r="O24" s="1308"/>
      <c r="P24" s="1309">
        <f>SUMPRODUCT((地价!A3:A37=YEAR(G19)&amp;"-"&amp;ROUNDUP(MONTH(G19)/3,0))*(地价!AD2:AH2=N24)*(地价!AD3:AH37))</f>
        <v>1.2E-2</v>
      </c>
      <c r="Q24" s="2988"/>
      <c r="R24" s="1257"/>
      <c r="S24" s="1257"/>
      <c r="T24" s="1252"/>
      <c r="U24" s="1252"/>
      <c r="V24" s="1252"/>
      <c r="W24" s="1251"/>
      <c r="X24" s="1251"/>
      <c r="Y24" s="1251"/>
      <c r="Z24" s="1258"/>
      <c r="AA24" s="1258"/>
      <c r="AB24" s="1258"/>
      <c r="AC24" s="1258"/>
      <c r="AD24" s="1258"/>
      <c r="AE24" s="1258"/>
      <c r="AF24" s="1258"/>
      <c r="AG24" s="2988"/>
      <c r="AH24" s="2988"/>
      <c r="AI24" s="2988"/>
      <c r="AJ24" s="2988"/>
    </row>
    <row r="25" spans="1:37" ht="15.75" thickBot="1">
      <c r="A25" s="2225" t="s">
        <v>813</v>
      </c>
      <c r="B25" s="2247" t="s">
        <v>2672</v>
      </c>
      <c r="C25" s="868"/>
      <c r="D25" s="2181"/>
      <c r="E25" s="2181"/>
      <c r="F25" s="2248"/>
      <c r="G25" s="2181"/>
      <c r="H25" s="2181"/>
      <c r="I25" s="2181"/>
      <c r="J25" s="2182"/>
      <c r="K25" s="1251"/>
      <c r="L25" s="2152"/>
      <c r="M25" s="2152"/>
      <c r="N25" s="2983" t="s">
        <v>2673</v>
      </c>
      <c r="O25" s="2984"/>
      <c r="P25" s="2985">
        <f>SUMPRODUCT((地价!A3:A37=YEAR(G19)&amp;"-"&amp;ROUNDUP(MONTH(G19)/3,0))*(地价!AD2:AH2=N25)*(地价!AD3:AH37))</f>
        <v>1.6400000000000001E-2</v>
      </c>
      <c r="Q25" s="2152"/>
      <c r="R25" s="1257"/>
      <c r="S25" s="1257"/>
      <c r="T25" s="1252"/>
      <c r="U25" s="1252"/>
      <c r="V25" s="1252"/>
      <c r="W25" s="1251"/>
      <c r="X25" s="1251"/>
      <c r="Y25" s="1251"/>
      <c r="Z25" s="1258"/>
      <c r="AA25" s="1258"/>
      <c r="AB25" s="1258"/>
      <c r="AC25" s="1258"/>
      <c r="AD25" s="1258"/>
      <c r="AE25" s="1252"/>
      <c r="AF25" s="1252"/>
      <c r="AG25" s="2309"/>
      <c r="AH25" s="2309"/>
      <c r="AI25" s="2309"/>
      <c r="AJ25" s="2309"/>
    </row>
    <row r="26" spans="1:37" ht="15">
      <c r="A26" s="2249"/>
      <c r="B26" s="2237" t="s">
        <v>2674</v>
      </c>
      <c r="C26" s="2511">
        <f>IF(B21="容积率修正",E29+SUM(E33:E39),SUM(V2:V16)+SUM(E33:E39))</f>
        <v>6948</v>
      </c>
      <c r="D26" s="2250"/>
      <c r="E26" s="2206"/>
      <c r="F26" s="2251"/>
      <c r="G26" s="2206"/>
      <c r="H26" s="2206"/>
      <c r="I26" s="2206"/>
      <c r="J26" s="2252"/>
      <c r="K26" s="1251"/>
      <c r="L26" s="2986" t="s">
        <v>2574</v>
      </c>
      <c r="M26" s="2179" t="s">
        <v>2638</v>
      </c>
      <c r="N26" s="2179" t="s">
        <v>2639</v>
      </c>
      <c r="O26" s="2179" t="s">
        <v>2640</v>
      </c>
      <c r="P26" s="2987" t="s">
        <v>2641</v>
      </c>
      <c r="Q26" s="2152"/>
      <c r="R26" s="1257"/>
      <c r="S26" s="1257"/>
      <c r="T26" s="1252"/>
      <c r="U26" s="1252"/>
      <c r="V26" s="1252"/>
      <c r="W26" s="1251"/>
      <c r="X26" s="1251"/>
      <c r="Y26" s="1251"/>
      <c r="Z26" s="1258"/>
      <c r="AA26" s="1258"/>
      <c r="AB26" s="1258"/>
      <c r="AC26" s="1258"/>
      <c r="AD26" s="1258"/>
      <c r="AE26" s="1252"/>
      <c r="AF26" s="1252"/>
      <c r="AG26" s="2309"/>
      <c r="AH26" s="2309"/>
      <c r="AI26" s="2309"/>
      <c r="AJ26" s="2309"/>
    </row>
    <row r="27" spans="1:37" ht="15.75" thickBot="1">
      <c r="A27" s="2249"/>
      <c r="B27" s="2253" t="s">
        <v>2675</v>
      </c>
      <c r="C27" s="869">
        <f>E30+SUM(I33:I39)</f>
        <v>1737</v>
      </c>
      <c r="D27" s="2254"/>
      <c r="E27" s="2255"/>
      <c r="F27" s="2256"/>
      <c r="G27" s="2255"/>
      <c r="H27" s="2255"/>
      <c r="I27" s="2255"/>
      <c r="J27" s="2257"/>
      <c r="K27" s="1251"/>
      <c r="L27" s="2212"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9"/>
      <c r="AH27" s="2309"/>
      <c r="AI27" s="2309"/>
      <c r="AJ27" s="2309"/>
    </row>
    <row r="28" spans="1:37" ht="15.75" thickBot="1">
      <c r="A28" s="2258"/>
      <c r="B28" s="2259" t="s">
        <v>2676</v>
      </c>
      <c r="C28" s="2260" t="s">
        <v>2677</v>
      </c>
      <c r="D28" s="2260" t="s">
        <v>2678</v>
      </c>
      <c r="E28" s="2261" t="s">
        <v>2679</v>
      </c>
      <c r="F28" s="2262"/>
      <c r="G28" s="2194"/>
      <c r="H28" s="2194"/>
      <c r="I28" s="2194"/>
      <c r="J28" s="2195"/>
      <c r="K28" s="1251"/>
      <c r="L28" s="2213"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9"/>
      <c r="AH28" s="2309"/>
      <c r="AI28" s="2309"/>
      <c r="AJ28" s="2309"/>
    </row>
    <row r="29" spans="1:37" ht="22.5" customHeight="1">
      <c r="A29" s="2263"/>
      <c r="B29" s="2264" t="s">
        <v>2680</v>
      </c>
      <c r="C29" s="179">
        <f>ROUND(C5*C18*C19*C20*C21*C24,0)</f>
        <v>16089</v>
      </c>
      <c r="D29" s="2265"/>
      <c r="E29" s="878">
        <f>ROUND(C29*D29/10000,0)</f>
        <v>0</v>
      </c>
      <c r="F29" s="2266" t="s">
        <v>2681</v>
      </c>
      <c r="G29" s="2267"/>
      <c r="H29" s="2267"/>
      <c r="I29" s="2267"/>
      <c r="J29" s="226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2"/>
      <c r="AH29" s="2152"/>
      <c r="AI29" s="2152"/>
      <c r="AJ29" s="2152"/>
    </row>
    <row r="30" spans="1:37" ht="25.5" thickBot="1">
      <c r="A30" s="2269"/>
      <c r="B30" s="2270" t="s">
        <v>2682</v>
      </c>
      <c r="C30" s="192">
        <f>ROUND(IF(E2="工业",C29*M39,C29*M38),0)</f>
        <v>4022</v>
      </c>
      <c r="D30" s="2271"/>
      <c r="E30" s="878">
        <f>ROUND(C30*D30/10000,0)</f>
        <v>0</v>
      </c>
      <c r="F30" s="2272" t="s">
        <v>2683</v>
      </c>
      <c r="G30" s="2273"/>
      <c r="H30" s="2273"/>
      <c r="I30" s="2273"/>
      <c r="J30" s="227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2"/>
      <c r="AH30" s="2152"/>
      <c r="AI30" s="2152"/>
      <c r="AJ30" s="2152"/>
    </row>
    <row r="31" spans="1:37" ht="14.25">
      <c r="A31" s="2275"/>
      <c r="B31" s="2276" t="s">
        <v>2684</v>
      </c>
      <c r="C31" s="2277" t="s">
        <v>2685</v>
      </c>
      <c r="D31" s="2194"/>
      <c r="E31" s="2277"/>
      <c r="F31" s="2277"/>
      <c r="G31" s="2192" t="s">
        <v>2686</v>
      </c>
      <c r="H31" s="2194"/>
      <c r="I31" s="2278"/>
      <c r="J31" s="219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2"/>
      <c r="AH31" s="2152"/>
      <c r="AI31" s="2152"/>
      <c r="AJ31" s="2152"/>
    </row>
    <row r="32" spans="1:37" ht="24">
      <c r="A32" s="2263"/>
      <c r="B32" s="2279"/>
      <c r="C32" s="457" t="s">
        <v>2677</v>
      </c>
      <c r="D32" s="454" t="s">
        <v>2678</v>
      </c>
      <c r="E32" s="454" t="s">
        <v>2679</v>
      </c>
      <c r="F32" s="347" t="s">
        <v>2687</v>
      </c>
      <c r="G32" s="2280" t="s">
        <v>2677</v>
      </c>
      <c r="H32" s="2280" t="s">
        <v>2678</v>
      </c>
      <c r="I32" s="2280"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2"/>
      <c r="AH32" s="2152"/>
      <c r="AI32" s="2152"/>
      <c r="AJ32" s="2152"/>
    </row>
    <row r="33" spans="1:37" ht="36" customHeight="1">
      <c r="A33" s="3575"/>
      <c r="B33" s="2281" t="s">
        <v>2688</v>
      </c>
      <c r="C33" s="179">
        <f>ROUND(D5*C19*C20*C24*F33,0)</f>
        <v>10527</v>
      </c>
      <c r="D33" s="2265"/>
      <c r="E33" s="175">
        <f>ROUND(C33*D33/10000,0)</f>
        <v>0</v>
      </c>
      <c r="F33" s="175">
        <f>SUMIF(修正!A45:A56,G2,修正!B45:B56)</f>
        <v>0.7</v>
      </c>
      <c r="G33" s="175">
        <f t="shared" ref="G33" si="6">ROUND(IF(E2="工业",C33*$M$39,C33*$M$38),0)</f>
        <v>2632</v>
      </c>
      <c r="H33" s="175">
        <f>D33</f>
        <v>0</v>
      </c>
      <c r="I33" s="175">
        <f>ROUND(G33*H33/10000,0)</f>
        <v>0</v>
      </c>
      <c r="J33" s="3580"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9"/>
      <c r="AH33" s="2309"/>
      <c r="AI33" s="2309"/>
      <c r="AJ33" s="2309"/>
    </row>
    <row r="34" spans="1:37" ht="14.25">
      <c r="A34" s="3576"/>
      <c r="B34" s="2198" t="s">
        <v>2689</v>
      </c>
      <c r="C34" s="179">
        <f>ROUND(D5*C19*C20*C24*F34,0)</f>
        <v>6015</v>
      </c>
      <c r="D34" s="2265"/>
      <c r="E34" s="175">
        <f t="shared" ref="E34:E39" si="7">ROUND(C34*D34/10000,0)</f>
        <v>0</v>
      </c>
      <c r="F34" s="175">
        <f>SUMIF(修正!A45:A56,G2,修正!C45:C56)</f>
        <v>0.4</v>
      </c>
      <c r="G34" s="175">
        <f>ROUND(IF(E2="工业",C34*$M$39,C34*$M$38),0)</f>
        <v>1504</v>
      </c>
      <c r="H34" s="175">
        <f t="shared" ref="H34:H39" si="8">D34</f>
        <v>0</v>
      </c>
      <c r="I34" s="175">
        <f t="shared" ref="I34:I39" si="9">ROUND(G34*H34/10000,0)</f>
        <v>0</v>
      </c>
      <c r="J34" s="357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9"/>
      <c r="AH34" s="2309"/>
      <c r="AI34" s="2309"/>
      <c r="AJ34" s="2309"/>
    </row>
    <row r="35" spans="1:37">
      <c r="A35" s="3576"/>
      <c r="B35" s="2198" t="s">
        <v>2690</v>
      </c>
      <c r="C35" s="179">
        <f>ROUND(D5*C19*C20*C24*F35,0)</f>
        <v>4211</v>
      </c>
      <c r="D35" s="2265"/>
      <c r="E35" s="175">
        <f t="shared" si="7"/>
        <v>0</v>
      </c>
      <c r="F35" s="175">
        <f>SUMIF(修正!A45:A56,G2,修正!D45:D56)</f>
        <v>0.28000000000000003</v>
      </c>
      <c r="G35" s="175">
        <f>ROUND(IF(E2="工业",C35*$M$39,C35*$M$38),0)</f>
        <v>1053</v>
      </c>
      <c r="H35" s="175">
        <f t="shared" si="8"/>
        <v>0</v>
      </c>
      <c r="I35" s="175">
        <f t="shared" si="9"/>
        <v>0</v>
      </c>
      <c r="J35" s="357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9"/>
      <c r="AH35" s="2309"/>
      <c r="AI35" s="2309"/>
      <c r="AJ35" s="2309"/>
    </row>
    <row r="36" spans="1:37" ht="13.5" thickBot="1">
      <c r="A36" s="3577"/>
      <c r="B36" s="2198" t="s">
        <v>2691</v>
      </c>
      <c r="C36" s="179">
        <f>ROUND(D5*C19*C20*C24*F36,0)</f>
        <v>3760</v>
      </c>
      <c r="D36" s="2265"/>
      <c r="E36" s="175">
        <f t="shared" si="7"/>
        <v>0</v>
      </c>
      <c r="F36" s="175">
        <f>SUMIF(修正!A45:A56,G2,修正!E45:E56)</f>
        <v>0.25</v>
      </c>
      <c r="G36" s="175">
        <f>ROUND(IF(E2="工业",C36*$M$39,C36*$M$38),0)</f>
        <v>940</v>
      </c>
      <c r="H36" s="175">
        <f t="shared" si="8"/>
        <v>0</v>
      </c>
      <c r="I36" s="175">
        <f t="shared" si="9"/>
        <v>0</v>
      </c>
      <c r="J36" s="3577"/>
      <c r="K36" s="1251"/>
      <c r="L36" s="2152"/>
      <c r="M36" s="2152"/>
      <c r="N36" s="1251"/>
      <c r="O36" s="1251"/>
      <c r="P36" s="1251"/>
      <c r="Q36" s="1251"/>
      <c r="R36" s="1251"/>
      <c r="S36" s="1251"/>
      <c r="T36" s="1251"/>
      <c r="U36" s="1251"/>
      <c r="V36" s="1251"/>
      <c r="W36" s="1251"/>
      <c r="X36" s="1251"/>
      <c r="Y36" s="1251"/>
      <c r="Z36" s="1252"/>
      <c r="AA36" s="1252"/>
      <c r="AB36" s="1252"/>
      <c r="AC36" s="1252"/>
      <c r="AD36" s="1252"/>
      <c r="AE36" s="1252"/>
      <c r="AF36" s="1252"/>
      <c r="AG36" s="2309"/>
      <c r="AH36" s="2309"/>
      <c r="AI36" s="2309"/>
      <c r="AJ36" s="2309"/>
    </row>
    <row r="37" spans="1:37">
      <c r="A37" s="2283"/>
      <c r="B37" s="2198" t="s">
        <v>2692</v>
      </c>
      <c r="C37" s="175">
        <f>ROUND(D5*C19*C20*C24*F37,0)</f>
        <v>3760</v>
      </c>
      <c r="D37" s="2265"/>
      <c r="E37" s="175">
        <f t="shared" si="7"/>
        <v>0</v>
      </c>
      <c r="F37" s="179">
        <f>SUMIF(修正!A45:A56,G2,修正!F45:F56)</f>
        <v>0.25</v>
      </c>
      <c r="G37" s="175">
        <f>ROUND(IF(E2="工业",C37*$M$39,C37*$M$38),0)</f>
        <v>940</v>
      </c>
      <c r="H37" s="175">
        <f t="shared" si="8"/>
        <v>0</v>
      </c>
      <c r="I37" s="175">
        <f t="shared" si="9"/>
        <v>0</v>
      </c>
      <c r="J37" s="2282"/>
      <c r="K37" s="1251"/>
      <c r="L37" s="2284" t="s">
        <v>2693</v>
      </c>
      <c r="M37" s="2285"/>
      <c r="N37" s="1251"/>
      <c r="O37" s="1251"/>
      <c r="P37" s="1251"/>
      <c r="Q37" s="1251"/>
      <c r="R37" s="1251"/>
      <c r="S37" s="1251"/>
      <c r="T37" s="1251"/>
      <c r="U37" s="1251"/>
      <c r="V37" s="1251"/>
      <c r="W37" s="1251"/>
      <c r="X37" s="1251"/>
      <c r="Y37" s="1251"/>
      <c r="Z37" s="1252"/>
      <c r="AA37" s="1252"/>
      <c r="AB37" s="1252"/>
      <c r="AC37" s="1252"/>
      <c r="AD37" s="1252"/>
      <c r="AE37" s="1252"/>
      <c r="AF37" s="1252"/>
      <c r="AG37" s="2309"/>
      <c r="AH37" s="2309"/>
      <c r="AI37" s="2309"/>
      <c r="AJ37" s="2309"/>
    </row>
    <row r="38" spans="1:37">
      <c r="A38" s="2283"/>
      <c r="B38" s="2198" t="s">
        <v>2694</v>
      </c>
      <c r="C38" s="175">
        <f>ROUND(D5*C19*C41*C24*F38,0)</f>
        <v>3764</v>
      </c>
      <c r="D38" s="2265">
        <f>'数据-汇总表'!E20</f>
        <v>9034.9699999999993</v>
      </c>
      <c r="E38" s="175">
        <f t="shared" si="7"/>
        <v>3401</v>
      </c>
      <c r="F38" s="179">
        <f>SUMIF(修正!A45:A56,G2,修正!G45:G56)</f>
        <v>0.25</v>
      </c>
      <c r="G38" s="175">
        <f>ROUND(IF(E2="工业",C38*$M$39,C38*$M$38),0)</f>
        <v>941</v>
      </c>
      <c r="H38" s="175">
        <f t="shared" si="8"/>
        <v>9034.9699999999993</v>
      </c>
      <c r="I38" s="175">
        <f t="shared" si="9"/>
        <v>850</v>
      </c>
      <c r="J38" s="2282"/>
      <c r="K38" s="1251"/>
      <c r="L38" s="1574" t="s">
        <v>2695</v>
      </c>
      <c r="M38" s="228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9"/>
      <c r="B39" s="2287" t="s">
        <v>2696</v>
      </c>
      <c r="C39" s="192">
        <f>ROUND(D5*C19*C41*C24*F39,0)</f>
        <v>3011</v>
      </c>
      <c r="D39" s="2271">
        <f>面积表!H19</f>
        <v>11780.21</v>
      </c>
      <c r="E39" s="192">
        <f t="shared" si="7"/>
        <v>3547</v>
      </c>
      <c r="F39" s="870">
        <f>SUMIF(修正!A45:A56,G2,修正!H45:H56)</f>
        <v>0.2</v>
      </c>
      <c r="G39" s="192">
        <f>ROUND(IF(E2="工业",C39*$M$39,C39*$M$38),0)</f>
        <v>753</v>
      </c>
      <c r="H39" s="192">
        <f t="shared" si="8"/>
        <v>11780.21</v>
      </c>
      <c r="I39" s="192">
        <f t="shared" si="9"/>
        <v>887</v>
      </c>
      <c r="J39" s="2288"/>
      <c r="K39" s="1251"/>
      <c r="L39" s="2289" t="s">
        <v>2641</v>
      </c>
      <c r="M39" s="229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9" t="s">
        <v>2801</v>
      </c>
      <c r="C41" s="347">
        <f>ROUND(POWER(1+E41,H41-G41)*(POWER(1+E41,G41)-1)/(POWER(1+E41,H41)-1),4)</f>
        <v>1</v>
      </c>
      <c r="D41" s="175" t="s">
        <v>2648</v>
      </c>
      <c r="E41" s="2338">
        <f>G20</f>
        <v>0.05</v>
      </c>
      <c r="F41" s="175" t="s">
        <v>2657</v>
      </c>
      <c r="G41" s="188">
        <f>H41</f>
        <v>50</v>
      </c>
      <c r="H41" s="175">
        <v>50</v>
      </c>
      <c r="Z41" s="1252"/>
      <c r="AA41" s="1252"/>
      <c r="AB41" s="1252"/>
      <c r="AC41" s="1252"/>
      <c r="AD41" s="1252"/>
      <c r="AE41" s="1252"/>
      <c r="AF41" s="1252"/>
      <c r="AG41" s="1252"/>
      <c r="AH41" s="1252"/>
      <c r="AI41" s="1252"/>
      <c r="AJ41" s="1252"/>
    </row>
    <row r="42" spans="1:37" s="1251" customFormat="1">
      <c r="A42" s="1252"/>
      <c r="B42" s="2291"/>
      <c r="Z42" s="1252"/>
      <c r="AA42" s="1252"/>
      <c r="AB42" s="1252"/>
      <c r="AC42" s="1252"/>
      <c r="AD42" s="1252"/>
      <c r="AE42" s="1252"/>
      <c r="AF42" s="1252"/>
      <c r="AG42" s="1252"/>
      <c r="AH42" s="1252"/>
      <c r="AI42" s="1252"/>
      <c r="AJ42" s="1252"/>
    </row>
    <row r="43" spans="1:37" s="1251" customFormat="1">
      <c r="A43" s="1252"/>
      <c r="B43" s="2291"/>
      <c r="Z43" s="1252"/>
      <c r="AA43" s="1252"/>
      <c r="AB43" s="1252"/>
      <c r="AC43" s="1252"/>
      <c r="AD43" s="1252"/>
      <c r="AE43" s="1252"/>
      <c r="AF43" s="1252"/>
      <c r="AG43" s="1252"/>
      <c r="AH43" s="1252"/>
      <c r="AI43" s="1252"/>
      <c r="AJ43" s="1252"/>
    </row>
    <row r="44" spans="1:37" s="1251" customFormat="1">
      <c r="A44" s="1252"/>
      <c r="B44" s="2291"/>
      <c r="Z44" s="1252"/>
      <c r="AA44" s="1252"/>
      <c r="AB44" s="1252"/>
      <c r="AC44" s="1252"/>
      <c r="AD44" s="1252"/>
      <c r="AE44" s="1252"/>
      <c r="AF44" s="1252"/>
      <c r="AG44" s="1252"/>
      <c r="AH44" s="1252"/>
      <c r="AI44" s="1252"/>
      <c r="AJ44" s="1252"/>
    </row>
    <row r="45" spans="1:37" s="1251" customFormat="1" ht="15.75" thickBot="1">
      <c r="A45" s="2292" t="s">
        <v>2697</v>
      </c>
      <c r="B45" s="229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94" t="s">
        <v>2698</v>
      </c>
      <c r="B46" s="2295">
        <f>1+E48</f>
        <v>1</v>
      </c>
      <c r="C46" s="2296"/>
      <c r="D46" s="752"/>
      <c r="E46" s="753"/>
      <c r="F46" s="229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98" t="s">
        <v>2699</v>
      </c>
      <c r="B47" s="1504" t="s">
        <v>2700</v>
      </c>
      <c r="C47" s="1504" t="s">
        <v>2701</v>
      </c>
      <c r="D47" s="1504" t="s">
        <v>2702</v>
      </c>
      <c r="E47" s="757" t="s">
        <v>2703</v>
      </c>
      <c r="F47" s="2299" t="s">
        <v>2704</v>
      </c>
      <c r="G47" s="1504" t="s">
        <v>754</v>
      </c>
      <c r="H47" s="2300" t="s">
        <v>2705</v>
      </c>
      <c r="I47" s="1504"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8" t="s">
        <v>2707</v>
      </c>
      <c r="B48" s="2301" t="str">
        <f>估价对象房地状况!C4</f>
        <v>估价对象位于XX商圈，周边商业氛围成熟，人流量大，商业繁华度好</v>
      </c>
      <c r="C48" s="2203"/>
      <c r="D48" s="1195">
        <f t="shared" ref="D48:D56" si="10">SUMIF($J$47:$N$47,C48,J48:N48)</f>
        <v>0</v>
      </c>
      <c r="E48" s="759">
        <f>ROUND(SUM(D48:D56),4)</f>
        <v>0</v>
      </c>
      <c r="F48" s="196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8" t="s">
        <v>2708</v>
      </c>
      <c r="B49" s="2302" t="str">
        <f>估价对象房地状况!C18</f>
        <v>估价对象周边道路状况、公共交通通达情况、停车便捷程度，综合评价交通便捷度较好</v>
      </c>
      <c r="C49" s="2203"/>
      <c r="D49" s="1195">
        <f t="shared" si="10"/>
        <v>0</v>
      </c>
      <c r="E49" s="760"/>
      <c r="F49" s="1969"/>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8" t="s">
        <v>2709</v>
      </c>
      <c r="B50" s="2302">
        <f>估价对象房地状况!C19</f>
        <v>0</v>
      </c>
      <c r="C50" s="2203"/>
      <c r="D50" s="1195">
        <f t="shared" si="10"/>
        <v>0</v>
      </c>
      <c r="E50" s="760"/>
      <c r="F50" s="1969"/>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8" t="s">
        <v>2710</v>
      </c>
      <c r="B51" s="2303" t="s">
        <v>2711</v>
      </c>
      <c r="C51" s="2203"/>
      <c r="D51" s="1195">
        <f t="shared" si="10"/>
        <v>0</v>
      </c>
      <c r="E51" s="760"/>
      <c r="F51" s="1969"/>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8" t="s">
        <v>2712</v>
      </c>
      <c r="B52" s="2302">
        <f>估价对象房地状况!C24</f>
        <v>0</v>
      </c>
      <c r="C52" s="2203"/>
      <c r="D52" s="1195">
        <f t="shared" si="10"/>
        <v>0</v>
      </c>
      <c r="E52" s="760"/>
      <c r="F52" s="1969"/>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8" t="s">
        <v>2713</v>
      </c>
      <c r="B53" s="2304" t="s">
        <v>2714</v>
      </c>
      <c r="C53" s="2203"/>
      <c r="D53" s="1195">
        <f t="shared" si="10"/>
        <v>0</v>
      </c>
      <c r="E53" s="760"/>
      <c r="F53" s="1969"/>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5" t="s">
        <v>2715</v>
      </c>
      <c r="B54" s="1465" t="str">
        <f>估价对象房地状况!C21</f>
        <v>估价对象所在区域公共配套设施齐备情况</v>
      </c>
      <c r="C54" s="2203"/>
      <c r="D54" s="1195">
        <f t="shared" si="10"/>
        <v>0</v>
      </c>
      <c r="E54" s="760"/>
      <c r="F54" s="1969"/>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5" t="s">
        <v>2716</v>
      </c>
      <c r="B55" s="2302" t="str">
        <f>估价对象房地状况!C22</f>
        <v>估价对象所在区域基础设施水平</v>
      </c>
      <c r="C55" s="2203"/>
      <c r="D55" s="1195">
        <f t="shared" si="10"/>
        <v>0</v>
      </c>
      <c r="E55" s="760"/>
      <c r="F55" s="1969"/>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6" t="s">
        <v>2717</v>
      </c>
      <c r="B56" s="2307" t="str">
        <f>估价对象房地状况!C20</f>
        <v>区域自然环境：；人文环境；综合评价环境状况一般</v>
      </c>
      <c r="C56" s="2203"/>
      <c r="D56" s="1195">
        <f t="shared" si="10"/>
        <v>0</v>
      </c>
      <c r="E56" s="763"/>
      <c r="F56" s="1969"/>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4" t="s">
        <v>2718</v>
      </c>
      <c r="B57" s="2295">
        <f>1+E59</f>
        <v>1</v>
      </c>
      <c r="C57" s="752"/>
      <c r="D57" s="752"/>
      <c r="E57" s="753"/>
      <c r="F57" s="229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8" t="s">
        <v>2699</v>
      </c>
      <c r="B58" s="1504"/>
      <c r="C58" s="1504" t="s">
        <v>2701</v>
      </c>
      <c r="D58" s="1504" t="s">
        <v>2702</v>
      </c>
      <c r="E58" s="757" t="s">
        <v>2703</v>
      </c>
      <c r="F58" s="2299" t="s">
        <v>2719</v>
      </c>
      <c r="G58" s="1504" t="s">
        <v>754</v>
      </c>
      <c r="H58" s="2300" t="s">
        <v>2705</v>
      </c>
      <c r="I58" s="1504"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8" t="s">
        <v>2720</v>
      </c>
      <c r="B59" s="2301" t="str">
        <f>估价对象房地状况!C17</f>
        <v>估价对象位于XX商圈，周边办公楼项目较多，入驻率高，办公集聚程度较好</v>
      </c>
      <c r="C59" s="2203"/>
      <c r="D59" s="1195">
        <f t="shared" ref="D59:D67" si="15">SUMIF($J$58:$N$58,C59,J59:N59)</f>
        <v>0</v>
      </c>
      <c r="E59" s="759">
        <f>ROUND(SUM(D59:D67),4)</f>
        <v>0</v>
      </c>
      <c r="F59" s="196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8" t="s">
        <v>2708</v>
      </c>
      <c r="B60" s="2302" t="str">
        <f>估价对象房地状况!C18</f>
        <v>估价对象周边道路状况、公共交通通达情况、停车便捷程度，综合评价交通便捷度较好</v>
      </c>
      <c r="C60" s="2203"/>
      <c r="D60" s="1195">
        <f t="shared" si="15"/>
        <v>0</v>
      </c>
      <c r="E60" s="760"/>
      <c r="F60" s="1969"/>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8" t="s">
        <v>2709</v>
      </c>
      <c r="B61" s="2302">
        <f>估价对象房地状况!C19</f>
        <v>0</v>
      </c>
      <c r="C61" s="2203"/>
      <c r="D61" s="1195">
        <f t="shared" si="15"/>
        <v>0</v>
      </c>
      <c r="E61" s="760"/>
      <c r="F61" s="1969"/>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8" t="s">
        <v>2710</v>
      </c>
      <c r="B62" s="2303" t="s">
        <v>2711</v>
      </c>
      <c r="C62" s="2203"/>
      <c r="D62" s="1195">
        <f t="shared" si="15"/>
        <v>0</v>
      </c>
      <c r="E62" s="760"/>
      <c r="F62" s="1969"/>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8" t="s">
        <v>2712</v>
      </c>
      <c r="B63" s="2302">
        <f>估价对象房地状况!C24</f>
        <v>0</v>
      </c>
      <c r="C63" s="2203"/>
      <c r="D63" s="1195">
        <f t="shared" si="15"/>
        <v>0</v>
      </c>
      <c r="E63" s="760"/>
      <c r="F63" s="1969"/>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8" t="s">
        <v>2713</v>
      </c>
      <c r="B64" s="2304" t="s">
        <v>2714</v>
      </c>
      <c r="C64" s="2203"/>
      <c r="D64" s="1195">
        <f t="shared" si="15"/>
        <v>0</v>
      </c>
      <c r="E64" s="760"/>
      <c r="F64" s="1969"/>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8" t="s">
        <v>2715</v>
      </c>
      <c r="B65" s="1465" t="str">
        <f>估价对象房地状况!C21</f>
        <v>估价对象所在区域公共配套设施齐备情况</v>
      </c>
      <c r="C65" s="2203"/>
      <c r="D65" s="1195">
        <f t="shared" si="15"/>
        <v>0</v>
      </c>
      <c r="E65" s="760"/>
      <c r="F65" s="1969"/>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8" t="s">
        <v>2716</v>
      </c>
      <c r="B66" s="1465" t="str">
        <f>估价对象房地状况!C22</f>
        <v>估价对象所在区域基础设施水平</v>
      </c>
      <c r="C66" s="2203"/>
      <c r="D66" s="1195">
        <f t="shared" si="15"/>
        <v>0</v>
      </c>
      <c r="E66" s="760"/>
      <c r="F66" s="1969"/>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6" t="s">
        <v>2717</v>
      </c>
      <c r="B67" s="2308" t="str">
        <f>估价对象房地状况!C20</f>
        <v>区域自然环境：；人文环境；综合评价环境状况一般</v>
      </c>
      <c r="C67" s="2203"/>
      <c r="D67" s="1195">
        <f t="shared" si="15"/>
        <v>0</v>
      </c>
      <c r="E67" s="763"/>
      <c r="F67" s="1969"/>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4" t="s">
        <v>2721</v>
      </c>
      <c r="B68" s="2295">
        <f>1+E70</f>
        <v>1.0674999999999999</v>
      </c>
      <c r="C68" s="752"/>
      <c r="D68" s="752"/>
      <c r="E68" s="753"/>
      <c r="F68" s="229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8" t="s">
        <v>2699</v>
      </c>
      <c r="B69" s="1504"/>
      <c r="C69" s="1504" t="s">
        <v>2701</v>
      </c>
      <c r="D69" s="1504" t="s">
        <v>2702</v>
      </c>
      <c r="E69" s="757" t="s">
        <v>2703</v>
      </c>
      <c r="F69" s="2299" t="s">
        <v>2719</v>
      </c>
      <c r="G69" s="1504" t="s">
        <v>754</v>
      </c>
      <c r="H69" s="2300" t="s">
        <v>2705</v>
      </c>
      <c r="I69" s="1504"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8" t="s">
        <v>2722</v>
      </c>
      <c r="B70" s="2301" t="str">
        <f>估价对象房地状况!C15</f>
        <v>估价对象周边居住用地比例、居住小区规模和社区发展完善程度，综合评价居住社区成熟度一般</v>
      </c>
      <c r="C70" s="2203" t="s">
        <v>3163</v>
      </c>
      <c r="D70" s="1195">
        <f t="shared" ref="D70:D78" si="20">SUMIF($J$69:$N$69,C70,J70:N70)</f>
        <v>9.1000000000000004E-3</v>
      </c>
      <c r="E70" s="759">
        <f>ROUND(SUM(D70:D78),4)</f>
        <v>6.7500000000000004E-2</v>
      </c>
      <c r="F70" s="1969">
        <f>IF(E2="住宅",SUMIF(L1:L12,G2,N1:N12),"——")</f>
        <v>0.13</v>
      </c>
      <c r="G70" s="1193">
        <f>H70</f>
        <v>9.1000000000000004E-3</v>
      </c>
      <c r="H70" s="1197">
        <f t="shared" ref="H70:H78" si="21">IFERROR(ROUNDDOWN($F$70*I70/2,4),"——")</f>
        <v>9.1000000000000004E-3</v>
      </c>
      <c r="I70" s="758">
        <v>0.14000000000000001</v>
      </c>
      <c r="J70" s="1194">
        <f t="shared" ref="J70:J78" si="22">K70+$G70</f>
        <v>1.8200000000000001E-2</v>
      </c>
      <c r="K70" s="1194">
        <f t="shared" ref="K70:K78" si="23">$L70+$G70</f>
        <v>9.1000000000000004E-3</v>
      </c>
      <c r="L70" s="1194">
        <v>0</v>
      </c>
      <c r="M70" s="1194">
        <f t="shared" ref="M70:N78" si="24">L70-$G70</f>
        <v>-9.1000000000000004E-3</v>
      </c>
      <c r="N70" s="1194">
        <f t="shared" si="24"/>
        <v>-1.8200000000000001E-2</v>
      </c>
      <c r="AA70" s="1252"/>
      <c r="AB70" s="1252"/>
      <c r="AC70" s="1252"/>
      <c r="AD70" s="1252"/>
      <c r="AE70" s="1252"/>
      <c r="AF70" s="1252"/>
      <c r="AG70" s="1252"/>
      <c r="AH70" s="1252"/>
      <c r="AI70" s="1252"/>
      <c r="AJ70" s="1252"/>
      <c r="AK70" s="1252"/>
    </row>
    <row r="71" spans="1:37" s="1251" customFormat="1" ht="51">
      <c r="A71" s="2298" t="s">
        <v>2708</v>
      </c>
      <c r="B71" s="2302" t="str">
        <f>估价对象房地状况!C18</f>
        <v>估价对象周边道路状况、公共交通通达情况、停车便捷程度，综合评价交通便捷度较好</v>
      </c>
      <c r="C71" s="2203" t="s">
        <v>3163</v>
      </c>
      <c r="D71" s="1195">
        <f t="shared" si="20"/>
        <v>1.95E-2</v>
      </c>
      <c r="E71" s="764"/>
      <c r="F71" s="1969"/>
      <c r="G71" s="1193">
        <f t="shared" ref="G71:G78" si="25">H71</f>
        <v>1.95E-2</v>
      </c>
      <c r="H71" s="1197">
        <f t="shared" si="21"/>
        <v>1.95E-2</v>
      </c>
      <c r="I71" s="758">
        <v>0.3</v>
      </c>
      <c r="J71" s="1194">
        <f t="shared" si="22"/>
        <v>3.9E-2</v>
      </c>
      <c r="K71" s="1194">
        <f t="shared" si="23"/>
        <v>1.95E-2</v>
      </c>
      <c r="L71" s="1194">
        <v>0</v>
      </c>
      <c r="M71" s="1194">
        <f t="shared" si="24"/>
        <v>-1.95E-2</v>
      </c>
      <c r="N71" s="1194">
        <f t="shared" si="24"/>
        <v>-3.9E-2</v>
      </c>
      <c r="AA71" s="1252"/>
      <c r="AB71" s="1252"/>
      <c r="AC71" s="1252"/>
      <c r="AD71" s="1252"/>
      <c r="AE71" s="1252"/>
      <c r="AF71" s="1252"/>
      <c r="AG71" s="1252"/>
      <c r="AH71" s="1252"/>
      <c r="AI71" s="1252"/>
      <c r="AJ71" s="1252"/>
      <c r="AK71" s="1252"/>
    </row>
    <row r="72" spans="1:37" s="1251" customFormat="1" ht="24">
      <c r="A72" s="2298" t="s">
        <v>2709</v>
      </c>
      <c r="B72" s="2302">
        <f>估价对象房地状况!C19</f>
        <v>0</v>
      </c>
      <c r="C72" s="2203" t="s">
        <v>3163</v>
      </c>
      <c r="D72" s="1195">
        <f t="shared" si="20"/>
        <v>5.1999999999999998E-3</v>
      </c>
      <c r="E72" s="764"/>
      <c r="F72" s="1969"/>
      <c r="G72" s="1193">
        <f t="shared" si="25"/>
        <v>5.1999999999999998E-3</v>
      </c>
      <c r="H72" s="1197">
        <f t="shared" si="21"/>
        <v>5.1999999999999998E-3</v>
      </c>
      <c r="I72" s="758">
        <v>0.08</v>
      </c>
      <c r="J72" s="1194">
        <f t="shared" si="22"/>
        <v>1.04E-2</v>
      </c>
      <c r="K72" s="1194">
        <f t="shared" si="23"/>
        <v>5.1999999999999998E-3</v>
      </c>
      <c r="L72" s="1194">
        <v>0</v>
      </c>
      <c r="M72" s="1194">
        <f t="shared" si="24"/>
        <v>-5.1999999999999998E-3</v>
      </c>
      <c r="N72" s="1194">
        <f t="shared" si="24"/>
        <v>-1.04E-2</v>
      </c>
      <c r="AA72" s="1252"/>
      <c r="AB72" s="1252"/>
      <c r="AC72" s="1252"/>
      <c r="AD72" s="1252"/>
      <c r="AE72" s="1252"/>
      <c r="AF72" s="1252"/>
      <c r="AG72" s="1252"/>
      <c r="AH72" s="1252"/>
      <c r="AI72" s="1252"/>
      <c r="AJ72" s="1252"/>
      <c r="AK72" s="1252"/>
    </row>
    <row r="73" spans="1:37" s="1251" customFormat="1" ht="14.25">
      <c r="A73" s="2298" t="s">
        <v>2723</v>
      </c>
      <c r="B73" s="2302">
        <f>估价对象房地状况!C24</f>
        <v>0</v>
      </c>
      <c r="C73" s="2203" t="s">
        <v>3263</v>
      </c>
      <c r="D73" s="1195">
        <f t="shared" si="20"/>
        <v>0</v>
      </c>
      <c r="E73" s="764"/>
      <c r="F73" s="1969"/>
      <c r="G73" s="1193">
        <f t="shared" si="25"/>
        <v>2.5999999999999999E-3</v>
      </c>
      <c r="H73" s="1197">
        <f t="shared" si="21"/>
        <v>2.5999999999999999E-3</v>
      </c>
      <c r="I73" s="758">
        <v>0.04</v>
      </c>
      <c r="J73" s="1194">
        <f t="shared" si="22"/>
        <v>5.1999999999999998E-3</v>
      </c>
      <c r="K73" s="1194">
        <f t="shared" si="23"/>
        <v>2.5999999999999999E-3</v>
      </c>
      <c r="L73" s="1194">
        <v>0</v>
      </c>
      <c r="M73" s="1194">
        <f t="shared" si="24"/>
        <v>-2.5999999999999999E-3</v>
      </c>
      <c r="N73" s="1194">
        <f t="shared" si="24"/>
        <v>-5.1999999999999998E-3</v>
      </c>
      <c r="AA73" s="1252"/>
      <c r="AB73" s="1252"/>
      <c r="AC73" s="1252"/>
      <c r="AD73" s="1252"/>
      <c r="AE73" s="1252"/>
      <c r="AF73" s="1252"/>
      <c r="AG73" s="1252"/>
      <c r="AH73" s="1252"/>
      <c r="AI73" s="1252"/>
      <c r="AJ73" s="1252"/>
      <c r="AK73" s="1252"/>
    </row>
    <row r="74" spans="1:37" s="1251" customFormat="1" ht="25.5">
      <c r="A74" s="2298" t="s">
        <v>2715</v>
      </c>
      <c r="B74" s="1465" t="str">
        <f>估价对象房地状况!C21</f>
        <v>估价对象所在区域公共配套设施齐备情况</v>
      </c>
      <c r="C74" s="2203" t="s">
        <v>3163</v>
      </c>
      <c r="D74" s="1195">
        <f t="shared" si="20"/>
        <v>5.1999999999999998E-3</v>
      </c>
      <c r="E74" s="764"/>
      <c r="F74" s="1969"/>
      <c r="G74" s="1193">
        <f t="shared" si="25"/>
        <v>5.1999999999999998E-3</v>
      </c>
      <c r="H74" s="1197">
        <f t="shared" si="21"/>
        <v>5.1999999999999998E-3</v>
      </c>
      <c r="I74" s="758">
        <v>0.08</v>
      </c>
      <c r="J74" s="1194">
        <f t="shared" si="22"/>
        <v>1.04E-2</v>
      </c>
      <c r="K74" s="1194">
        <f t="shared" si="23"/>
        <v>5.1999999999999998E-3</v>
      </c>
      <c r="L74" s="1194">
        <v>0</v>
      </c>
      <c r="M74" s="1194">
        <f t="shared" si="24"/>
        <v>-5.1999999999999998E-3</v>
      </c>
      <c r="N74" s="1194">
        <f t="shared" si="24"/>
        <v>-1.04E-2</v>
      </c>
      <c r="AA74" s="1252"/>
      <c r="AB74" s="1252"/>
      <c r="AC74" s="1252"/>
      <c r="AD74" s="1252"/>
      <c r="AE74" s="1252"/>
      <c r="AF74" s="1252"/>
      <c r="AG74" s="1252"/>
      <c r="AH74" s="1252"/>
      <c r="AI74" s="1252"/>
      <c r="AJ74" s="1252"/>
      <c r="AK74" s="1252"/>
    </row>
    <row r="75" spans="1:37" s="1251" customFormat="1" ht="25.5">
      <c r="A75" s="2298" t="s">
        <v>2716</v>
      </c>
      <c r="B75" s="1465" t="str">
        <f>估价对象房地状况!C22</f>
        <v>估价对象所在区域基础设施水平</v>
      </c>
      <c r="C75" s="2203" t="s">
        <v>3264</v>
      </c>
      <c r="D75" s="1195">
        <f t="shared" si="20"/>
        <v>1.5599999999999999E-2</v>
      </c>
      <c r="E75" s="764"/>
      <c r="F75" s="1969"/>
      <c r="G75" s="1193">
        <f t="shared" si="25"/>
        <v>7.7999999999999996E-3</v>
      </c>
      <c r="H75" s="1197">
        <f t="shared" si="21"/>
        <v>7.7999999999999996E-3</v>
      </c>
      <c r="I75" s="758">
        <v>0.12</v>
      </c>
      <c r="J75" s="1194">
        <f t="shared" si="22"/>
        <v>1.5599999999999999E-2</v>
      </c>
      <c r="K75" s="1194">
        <f t="shared" si="23"/>
        <v>7.7999999999999996E-3</v>
      </c>
      <c r="L75" s="1194">
        <v>0</v>
      </c>
      <c r="M75" s="1194">
        <f t="shared" si="24"/>
        <v>-7.7999999999999996E-3</v>
      </c>
      <c r="N75" s="1194">
        <f t="shared" si="24"/>
        <v>-1.5599999999999999E-2</v>
      </c>
      <c r="AA75" s="1252"/>
      <c r="AB75" s="1252"/>
      <c r="AC75" s="1252"/>
      <c r="AD75" s="1252"/>
      <c r="AE75" s="1252"/>
      <c r="AF75" s="1252"/>
      <c r="AG75" s="1252"/>
      <c r="AH75" s="1252"/>
      <c r="AI75" s="1252"/>
      <c r="AJ75" s="1252"/>
      <c r="AK75" s="1252"/>
    </row>
    <row r="76" spans="1:37" s="2152" customFormat="1" ht="24">
      <c r="A76" s="2298" t="s">
        <v>2713</v>
      </c>
      <c r="B76" s="2304" t="s">
        <v>2714</v>
      </c>
      <c r="C76" s="2203" t="s">
        <v>3163</v>
      </c>
      <c r="D76" s="1195">
        <f t="shared" si="20"/>
        <v>3.2000000000000002E-3</v>
      </c>
      <c r="E76" s="764"/>
      <c r="F76" s="1969"/>
      <c r="G76" s="1193">
        <f t="shared" si="25"/>
        <v>3.2000000000000002E-3</v>
      </c>
      <c r="H76" s="1197">
        <f t="shared" si="21"/>
        <v>3.2000000000000002E-3</v>
      </c>
      <c r="I76" s="758">
        <v>0.05</v>
      </c>
      <c r="J76" s="1194">
        <f t="shared" si="22"/>
        <v>6.4000000000000003E-3</v>
      </c>
      <c r="K76" s="1194">
        <f t="shared" si="23"/>
        <v>3.2000000000000002E-3</v>
      </c>
      <c r="L76" s="1194">
        <v>0</v>
      </c>
      <c r="M76" s="1194">
        <f t="shared" si="24"/>
        <v>-3.2000000000000002E-3</v>
      </c>
      <c r="N76" s="1194">
        <f t="shared" si="24"/>
        <v>-6.4000000000000003E-3</v>
      </c>
      <c r="AA76" s="2309"/>
      <c r="AB76" s="1252"/>
      <c r="AC76" s="1252"/>
      <c r="AD76" s="1252"/>
      <c r="AE76" s="1252"/>
      <c r="AF76" s="1252"/>
      <c r="AG76" s="1252"/>
      <c r="AH76" s="2309"/>
      <c r="AI76" s="2309"/>
      <c r="AJ76" s="2309"/>
      <c r="AK76" s="2309"/>
    </row>
    <row r="77" spans="1:37" ht="38.25">
      <c r="A77" s="2298" t="s">
        <v>2717</v>
      </c>
      <c r="B77" s="2301" t="str">
        <f>估价对象房地状况!C20</f>
        <v>区域自然环境：；人文环境；综合评价环境状况一般</v>
      </c>
      <c r="C77" s="2203" t="s">
        <v>3163</v>
      </c>
      <c r="D77" s="1195">
        <f t="shared" si="20"/>
        <v>9.7000000000000003E-3</v>
      </c>
      <c r="E77" s="764"/>
      <c r="F77" s="1969"/>
      <c r="G77" s="1193">
        <f t="shared" si="25"/>
        <v>9.7000000000000003E-3</v>
      </c>
      <c r="H77" s="1197">
        <f t="shared" si="21"/>
        <v>9.7000000000000003E-3</v>
      </c>
      <c r="I77" s="758">
        <v>0.15</v>
      </c>
      <c r="J77" s="1194">
        <f t="shared" si="22"/>
        <v>1.9400000000000001E-2</v>
      </c>
      <c r="K77" s="1194">
        <f t="shared" si="23"/>
        <v>9.7000000000000003E-3</v>
      </c>
      <c r="L77" s="1194">
        <v>0</v>
      </c>
      <c r="M77" s="1194">
        <f t="shared" si="24"/>
        <v>-9.7000000000000003E-3</v>
      </c>
      <c r="N77" s="1194">
        <f t="shared" si="24"/>
        <v>-1.9400000000000001E-2</v>
      </c>
      <c r="Z77" s="2153"/>
      <c r="AA77" s="2219"/>
      <c r="AG77" s="1253"/>
      <c r="AK77" s="2219"/>
    </row>
    <row r="78" spans="1:37" ht="24.75" thickBot="1">
      <c r="A78" s="2306" t="s">
        <v>2724</v>
      </c>
      <c r="B78" s="2310"/>
      <c r="C78" s="2203" t="s">
        <v>3263</v>
      </c>
      <c r="D78" s="1195">
        <f t="shared" si="20"/>
        <v>0</v>
      </c>
      <c r="E78" s="765"/>
      <c r="F78" s="1969"/>
      <c r="G78" s="1193">
        <f t="shared" si="25"/>
        <v>2.5999999999999999E-3</v>
      </c>
      <c r="H78" s="1197">
        <f t="shared" si="21"/>
        <v>2.5999999999999999E-3</v>
      </c>
      <c r="I78" s="762">
        <v>0.04</v>
      </c>
      <c r="J78" s="1194">
        <f t="shared" si="22"/>
        <v>5.1999999999999998E-3</v>
      </c>
      <c r="K78" s="1194">
        <f t="shared" si="23"/>
        <v>2.5999999999999999E-3</v>
      </c>
      <c r="L78" s="1194">
        <v>0</v>
      </c>
      <c r="M78" s="1194">
        <f t="shared" si="24"/>
        <v>-2.5999999999999999E-3</v>
      </c>
      <c r="N78" s="1194">
        <f t="shared" si="24"/>
        <v>-5.1999999999999998E-3</v>
      </c>
      <c r="Z78" s="2153"/>
      <c r="AA78" s="2219"/>
      <c r="AG78" s="1253"/>
      <c r="AK78" s="2219"/>
    </row>
    <row r="79" spans="1:37" ht="15">
      <c r="A79" s="2294" t="s">
        <v>2725</v>
      </c>
      <c r="B79" s="2295">
        <f>1+E81</f>
        <v>1</v>
      </c>
      <c r="C79" s="752"/>
      <c r="D79" s="752"/>
      <c r="E79" s="753"/>
      <c r="F79" s="2297"/>
      <c r="G79" s="6"/>
      <c r="H79" s="6"/>
      <c r="I79" s="6"/>
      <c r="J79" s="7"/>
      <c r="K79" s="7"/>
      <c r="L79" s="7"/>
      <c r="M79" s="7"/>
      <c r="N79" s="7"/>
      <c r="Z79" s="2153"/>
      <c r="AA79" s="2219"/>
      <c r="AG79" s="1253"/>
      <c r="AK79" s="2219"/>
    </row>
    <row r="80" spans="1:37" ht="24.75">
      <c r="A80" s="2298" t="s">
        <v>2699</v>
      </c>
      <c r="B80" s="1504"/>
      <c r="C80" s="1504" t="s">
        <v>2701</v>
      </c>
      <c r="D80" s="1504" t="s">
        <v>2702</v>
      </c>
      <c r="E80" s="757" t="s">
        <v>2703</v>
      </c>
      <c r="F80" s="2299" t="s">
        <v>2719</v>
      </c>
      <c r="G80" s="1504" t="s">
        <v>754</v>
      </c>
      <c r="H80" s="2300" t="s">
        <v>2705</v>
      </c>
      <c r="I80" s="1504" t="s">
        <v>2706</v>
      </c>
      <c r="J80" s="559" t="s">
        <v>2358</v>
      </c>
      <c r="K80" s="559" t="s">
        <v>2359</v>
      </c>
      <c r="L80" s="559" t="s">
        <v>2360</v>
      </c>
      <c r="M80" s="559" t="s">
        <v>2361</v>
      </c>
      <c r="N80" s="559" t="s">
        <v>2362</v>
      </c>
      <c r="Z80" s="2153"/>
      <c r="AA80" s="2219"/>
      <c r="AG80" s="1253"/>
      <c r="AK80" s="2219"/>
    </row>
    <row r="81" spans="1:37" ht="38.25">
      <c r="A81" s="2298" t="s">
        <v>2726</v>
      </c>
      <c r="B81" s="2302" t="str">
        <f>估价对象房地状况!G15</f>
        <v>估价对象位于XX开发区，园区建设成熟度XX，产业集聚程度XX</v>
      </c>
      <c r="C81" s="220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53"/>
      <c r="AA81" s="2219"/>
      <c r="AG81" s="1253"/>
      <c r="AK81" s="2219"/>
    </row>
    <row r="82" spans="1:37" ht="51">
      <c r="A82" s="2298" t="s">
        <v>2708</v>
      </c>
      <c r="B82" s="2302" t="str">
        <f>估价对象房地状况!G16</f>
        <v>估价对象周边道路状况、公共交通通达情况、停车便捷程度，综合评价交通便捷度较好</v>
      </c>
      <c r="C82" s="220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53"/>
      <c r="AA82" s="2219"/>
      <c r="AG82" s="1253"/>
      <c r="AK82" s="2219"/>
    </row>
    <row r="83" spans="1:37" ht="24">
      <c r="A83" s="2298" t="s">
        <v>2709</v>
      </c>
      <c r="B83" s="2302">
        <f>估价对象房地状况!G17</f>
        <v>0</v>
      </c>
      <c r="C83" s="220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53"/>
      <c r="AA83" s="2219"/>
      <c r="AG83" s="1253"/>
      <c r="AK83" s="2219"/>
    </row>
    <row r="84" spans="1:37" ht="14.25">
      <c r="A84" s="2298" t="s">
        <v>2723</v>
      </c>
      <c r="B84" s="2302">
        <f>估价对象房地状况!G22</f>
        <v>0</v>
      </c>
      <c r="C84" s="220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53"/>
      <c r="AA84" s="2219"/>
      <c r="AG84" s="1253"/>
      <c r="AK84" s="2219"/>
    </row>
    <row r="85" spans="1:37" ht="25.5">
      <c r="A85" s="2298" t="s">
        <v>2715</v>
      </c>
      <c r="B85" s="1465" t="str">
        <f>估价对象房地状况!G19</f>
        <v>估价对象所在区域公共配套设施齐备情况</v>
      </c>
      <c r="C85" s="220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53"/>
      <c r="AA85" s="2219"/>
      <c r="AG85" s="1253"/>
      <c r="AK85" s="2219"/>
    </row>
    <row r="86" spans="1:37" ht="25.5">
      <c r="A86" s="2298" t="s">
        <v>2716</v>
      </c>
      <c r="B86" s="1465" t="str">
        <f>估价对象房地状况!G20</f>
        <v>估价对象所在区域基础设施水平</v>
      </c>
      <c r="C86" s="220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53"/>
      <c r="AA86" s="2219"/>
      <c r="AG86" s="1253"/>
      <c r="AK86" s="2219"/>
    </row>
    <row r="87" spans="1:37" ht="24">
      <c r="A87" s="2298" t="s">
        <v>2713</v>
      </c>
      <c r="B87" s="2304" t="s">
        <v>2727</v>
      </c>
      <c r="C87" s="220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53"/>
      <c r="AA87" s="2219"/>
      <c r="AG87" s="1253"/>
      <c r="AK87" s="2219"/>
    </row>
    <row r="88" spans="1:37" ht="39" thickBot="1">
      <c r="A88" s="2306" t="s">
        <v>2728</v>
      </c>
      <c r="B88" s="2311" t="str">
        <f>估价对象房地状况!G18</f>
        <v>该园区内是否有污染型企业，绿化情况，卫生条件，整体环境状况判断</v>
      </c>
      <c r="C88" s="220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53"/>
      <c r="AA88" s="2219"/>
      <c r="AG88" s="1253"/>
      <c r="AK88" s="2219"/>
    </row>
    <row r="90" spans="1:37">
      <c r="A90" s="3567" t="s">
        <v>2729</v>
      </c>
      <c r="B90" s="3567"/>
      <c r="C90" s="3567"/>
      <c r="D90" s="3567"/>
      <c r="E90" s="3567"/>
      <c r="F90" s="3567"/>
      <c r="G90" s="3567"/>
      <c r="H90" s="3567"/>
      <c r="I90" s="3567"/>
      <c r="J90" s="3567"/>
      <c r="K90" s="2312"/>
      <c r="L90" s="2312"/>
      <c r="M90" s="2312"/>
      <c r="N90" s="2312"/>
    </row>
    <row r="91" spans="1:37">
      <c r="A91" s="3569" t="s">
        <v>2730</v>
      </c>
      <c r="B91" s="3569" t="s">
        <v>2731</v>
      </c>
      <c r="C91" s="2266" t="s">
        <v>2732</v>
      </c>
      <c r="D91" s="2267"/>
      <c r="E91" s="2267"/>
      <c r="F91" s="2267"/>
      <c r="G91" s="2267"/>
      <c r="H91" s="2267"/>
      <c r="I91" s="2267"/>
      <c r="J91" s="2313"/>
      <c r="K91" s="2314"/>
      <c r="L91" s="2314"/>
      <c r="M91" s="2314"/>
      <c r="N91" s="2314"/>
    </row>
    <row r="92" spans="1:37">
      <c r="A92" s="3569"/>
      <c r="B92" s="3569"/>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570" t="s">
        <v>2733</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71"/>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71"/>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71"/>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71"/>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71"/>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71"/>
      <c r="B99" s="2315" t="s">
        <v>2616</v>
      </c>
      <c r="C99" s="2317">
        <f>$I$3</f>
        <v>0</v>
      </c>
      <c r="D99" s="2317">
        <f t="shared" ref="D99:M99" si="31">$I$3</f>
        <v>0</v>
      </c>
      <c r="E99" s="2317">
        <f t="shared" si="31"/>
        <v>0</v>
      </c>
      <c r="F99" s="2317">
        <f t="shared" si="31"/>
        <v>0</v>
      </c>
      <c r="G99" s="2317">
        <f t="shared" si="31"/>
        <v>0</v>
      </c>
      <c r="H99" s="2317">
        <f t="shared" si="31"/>
        <v>0</v>
      </c>
      <c r="I99" s="2317">
        <f t="shared" si="31"/>
        <v>0</v>
      </c>
      <c r="J99" s="2317">
        <f t="shared" si="31"/>
        <v>0</v>
      </c>
      <c r="K99" s="2317">
        <f t="shared" si="31"/>
        <v>0</v>
      </c>
      <c r="L99" s="2317">
        <f t="shared" si="31"/>
        <v>0</v>
      </c>
      <c r="M99" s="2317">
        <f t="shared" si="31"/>
        <v>0</v>
      </c>
      <c r="N99" s="2317">
        <f>$I$3</f>
        <v>0</v>
      </c>
    </row>
    <row r="100" spans="1:14">
      <c r="A100" s="3572"/>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70" t="s">
        <v>2734</v>
      </c>
      <c r="B101" s="2319" t="s">
        <v>2735</v>
      </c>
      <c r="C101" s="2320">
        <f>$G$3</f>
        <v>1.93</v>
      </c>
      <c r="D101" s="2320">
        <f t="shared" ref="D101:N101" si="32">$G$3</f>
        <v>1.93</v>
      </c>
      <c r="E101" s="2320">
        <f t="shared" si="32"/>
        <v>1.93</v>
      </c>
      <c r="F101" s="2320">
        <f t="shared" si="32"/>
        <v>1.93</v>
      </c>
      <c r="G101" s="2320">
        <f t="shared" si="32"/>
        <v>1.93</v>
      </c>
      <c r="H101" s="2320">
        <f t="shared" si="32"/>
        <v>1.93</v>
      </c>
      <c r="I101" s="2320">
        <f t="shared" si="32"/>
        <v>1.93</v>
      </c>
      <c r="J101" s="2320">
        <f t="shared" si="32"/>
        <v>1.93</v>
      </c>
      <c r="K101" s="2320">
        <f t="shared" si="32"/>
        <v>1.93</v>
      </c>
      <c r="L101" s="2320">
        <f t="shared" si="32"/>
        <v>1.93</v>
      </c>
      <c r="M101" s="2320">
        <f t="shared" si="32"/>
        <v>1.93</v>
      </c>
      <c r="N101" s="2320">
        <f t="shared" si="32"/>
        <v>1.93</v>
      </c>
    </row>
    <row r="102" spans="1:14">
      <c r="A102" s="3571"/>
      <c r="B102" s="2315">
        <v>1</v>
      </c>
      <c r="C102" s="2316">
        <f>1.9362/C101</f>
        <v>1.0032124352331606</v>
      </c>
      <c r="D102" s="2316">
        <f>1.9362/D101</f>
        <v>1.0032124352331606</v>
      </c>
      <c r="E102" s="2316">
        <f>1.8629/E101</f>
        <v>0.96523316062176168</v>
      </c>
      <c r="F102" s="2316">
        <f>1.8629/F101</f>
        <v>0.96523316062176168</v>
      </c>
      <c r="G102" s="2316">
        <f>1.8629/G101</f>
        <v>0.96523316062176168</v>
      </c>
      <c r="H102" s="2316">
        <f>1.8629/H101</f>
        <v>0.96523316062176168</v>
      </c>
      <c r="I102" s="2316">
        <f>1.8629/I101</f>
        <v>0.96523316062176168</v>
      </c>
      <c r="J102" s="2316">
        <f>1.942/J101</f>
        <v>1.0062176165803109</v>
      </c>
      <c r="K102" s="2316">
        <f>1.942/K101</f>
        <v>1.0062176165803109</v>
      </c>
      <c r="L102" s="2316">
        <f>1.942/L101</f>
        <v>1.0062176165803109</v>
      </c>
      <c r="M102" s="2316">
        <f>1.942/M101</f>
        <v>1.0062176165803109</v>
      </c>
      <c r="N102" s="2316">
        <f>1.942/N101</f>
        <v>1.0062176165803109</v>
      </c>
    </row>
    <row r="103" spans="1:14">
      <c r="A103" s="3571"/>
      <c r="B103" s="2315">
        <v>2</v>
      </c>
      <c r="C103" s="2316">
        <f>1.4198/C101</f>
        <v>0.73564766839378237</v>
      </c>
      <c r="D103" s="2316">
        <f>1.4198/D101</f>
        <v>0.73564766839378237</v>
      </c>
      <c r="E103" s="2316">
        <f>1.3372/E101</f>
        <v>0.69284974093264251</v>
      </c>
      <c r="F103" s="2316">
        <f>1.3372/F101</f>
        <v>0.69284974093264251</v>
      </c>
      <c r="G103" s="2316">
        <f>1.3372/G101</f>
        <v>0.69284974093264251</v>
      </c>
      <c r="H103" s="2316">
        <f>1.3372/H101</f>
        <v>0.69284974093264251</v>
      </c>
      <c r="I103" s="2316">
        <f>1.3372/I101</f>
        <v>0.69284974093264251</v>
      </c>
      <c r="J103" s="2316">
        <f>1.2799/J101</f>
        <v>0.66316062176165802</v>
      </c>
      <c r="K103" s="2316">
        <f>1.2799/K101</f>
        <v>0.66316062176165802</v>
      </c>
      <c r="L103" s="2316">
        <f>1.2799/L101</f>
        <v>0.66316062176165802</v>
      </c>
      <c r="M103" s="2316">
        <f>1.2799/M101</f>
        <v>0.66316062176165802</v>
      </c>
      <c r="N103" s="2316">
        <f>1.2799/N101</f>
        <v>0.66316062176165802</v>
      </c>
    </row>
    <row r="104" spans="1:14">
      <c r="A104" s="3571"/>
      <c r="B104" s="2315">
        <v>3</v>
      </c>
      <c r="C104" s="2316">
        <f>1.1594/C101</f>
        <v>0.6007253886010363</v>
      </c>
      <c r="D104" s="2316">
        <f>1.1594/D101</f>
        <v>0.6007253886010363</v>
      </c>
      <c r="E104" s="2316">
        <f>1.0788/E101</f>
        <v>0.55896373056994819</v>
      </c>
      <c r="F104" s="2316">
        <f>1.0788/F101</f>
        <v>0.55896373056994819</v>
      </c>
      <c r="G104" s="2316">
        <f>1.0788/G101</f>
        <v>0.55896373056994819</v>
      </c>
      <c r="H104" s="2316">
        <f>1.0788/H101</f>
        <v>0.55896373056994819</v>
      </c>
      <c r="I104" s="2316">
        <f>1.0788/I101</f>
        <v>0.55896373056994819</v>
      </c>
      <c r="J104" s="2316">
        <f>1.0072/J101</f>
        <v>0.52186528497409335</v>
      </c>
      <c r="K104" s="2316">
        <f>1.0072/K101</f>
        <v>0.52186528497409335</v>
      </c>
      <c r="L104" s="2316">
        <f>1.0072/L101</f>
        <v>0.52186528497409335</v>
      </c>
      <c r="M104" s="2316">
        <f>1.0072/M101</f>
        <v>0.52186528497409335</v>
      </c>
      <c r="N104" s="2316">
        <f>1.0072/N101</f>
        <v>0.52186528497409335</v>
      </c>
    </row>
    <row r="105" spans="1:14">
      <c r="A105" s="3571"/>
      <c r="B105" s="2315">
        <v>4</v>
      </c>
      <c r="C105" s="2316">
        <f>0.9622/C101</f>
        <v>0.49854922279792752</v>
      </c>
      <c r="D105" s="2316">
        <f>0.9622/D101</f>
        <v>0.49854922279792752</v>
      </c>
      <c r="E105" s="2316">
        <f>0.8656/E101</f>
        <v>0.4484974093264249</v>
      </c>
      <c r="F105" s="2316">
        <f>0.8656/F101</f>
        <v>0.4484974093264249</v>
      </c>
      <c r="G105" s="2316">
        <f>0.8656/G101</f>
        <v>0.4484974093264249</v>
      </c>
      <c r="H105" s="2316">
        <f>0.8656/H101</f>
        <v>0.4484974093264249</v>
      </c>
      <c r="I105" s="2316">
        <f>0.8656/I101</f>
        <v>0.4484974093264249</v>
      </c>
      <c r="J105" s="2316">
        <f>0.7525/J101</f>
        <v>0.38989637305699482</v>
      </c>
      <c r="K105" s="2316">
        <f>0.7525/K101</f>
        <v>0.38989637305699482</v>
      </c>
      <c r="L105" s="2316">
        <f>0.7525/L101</f>
        <v>0.38989637305699482</v>
      </c>
      <c r="M105" s="2316">
        <f>0.7525/M101</f>
        <v>0.38989637305699482</v>
      </c>
      <c r="N105" s="2316">
        <f>0.7525/N101</f>
        <v>0.38989637305699482</v>
      </c>
    </row>
    <row r="106" spans="1:14">
      <c r="A106" s="3571"/>
      <c r="B106" s="2315">
        <v>5</v>
      </c>
      <c r="C106" s="2316">
        <f>0.8417/C101</f>
        <v>0.43611398963730569</v>
      </c>
      <c r="D106" s="2316">
        <f>0.8417/D101</f>
        <v>0.43611398963730569</v>
      </c>
      <c r="E106" s="2316">
        <f>0.7371/E101</f>
        <v>0.38191709844559585</v>
      </c>
      <c r="F106" s="2316">
        <f>0.7371/F101</f>
        <v>0.38191709844559585</v>
      </c>
      <c r="G106" s="2316">
        <f>0.7371/G101</f>
        <v>0.38191709844559585</v>
      </c>
      <c r="H106" s="2316">
        <f>0.7371/H101</f>
        <v>0.38191709844559585</v>
      </c>
      <c r="I106" s="2316">
        <f>0.7371/I101</f>
        <v>0.38191709844559585</v>
      </c>
      <c r="J106" s="2316">
        <f>0.5659/J101</f>
        <v>0.2932124352331606</v>
      </c>
      <c r="K106" s="2316">
        <f>0.5659/K101</f>
        <v>0.2932124352331606</v>
      </c>
      <c r="L106" s="2316">
        <f>0.5659/L101</f>
        <v>0.2932124352331606</v>
      </c>
      <c r="M106" s="2316">
        <f>0.5659/M101</f>
        <v>0.2932124352331606</v>
      </c>
      <c r="N106" s="2316">
        <f>0.5659/N101</f>
        <v>0.2932124352331606</v>
      </c>
    </row>
    <row r="107" spans="1:14">
      <c r="A107" s="3571"/>
      <c r="B107" s="2315">
        <v>6</v>
      </c>
      <c r="C107" s="2316">
        <f>0.7608/C101</f>
        <v>0.39419689119170986</v>
      </c>
      <c r="D107" s="2316">
        <f>0.7608/D101</f>
        <v>0.39419689119170986</v>
      </c>
      <c r="E107" s="2316">
        <f>0.6482/E101</f>
        <v>0.33585492227979274</v>
      </c>
      <c r="F107" s="2316">
        <f>0.6482/F101</f>
        <v>0.33585492227979274</v>
      </c>
      <c r="G107" s="2316">
        <f>0.6482/G101</f>
        <v>0.33585492227979274</v>
      </c>
      <c r="H107" s="2316">
        <f>0.6482/H101</f>
        <v>0.33585492227979274</v>
      </c>
      <c r="I107" s="2316">
        <f>0.6482/I101</f>
        <v>0.33585492227979274</v>
      </c>
      <c r="J107" s="2316">
        <f>0.4525/J101</f>
        <v>0.23445595854922283</v>
      </c>
      <c r="K107" s="2316">
        <f>0.4525/K101</f>
        <v>0.23445595854922283</v>
      </c>
      <c r="L107" s="2316">
        <f>0.4525/L101</f>
        <v>0.23445595854922283</v>
      </c>
      <c r="M107" s="2316">
        <f>0.4525/M101</f>
        <v>0.23445595854922283</v>
      </c>
      <c r="N107" s="2316">
        <f>0.4525/N101</f>
        <v>0.23445595854922283</v>
      </c>
    </row>
    <row r="108" spans="1:14">
      <c r="A108" s="3571"/>
      <c r="B108" s="3573" t="s">
        <v>2736</v>
      </c>
      <c r="C108" s="2317">
        <f>C99</f>
        <v>0</v>
      </c>
      <c r="D108" s="2317">
        <f t="shared" ref="D108:N108" si="33">D99</f>
        <v>0</v>
      </c>
      <c r="E108" s="2317">
        <f t="shared" si="33"/>
        <v>0</v>
      </c>
      <c r="F108" s="2317">
        <f t="shared" si="33"/>
        <v>0</v>
      </c>
      <c r="G108" s="2317">
        <f t="shared" si="33"/>
        <v>0</v>
      </c>
      <c r="H108" s="2317">
        <f t="shared" si="33"/>
        <v>0</v>
      </c>
      <c r="I108" s="2317">
        <f t="shared" si="33"/>
        <v>0</v>
      </c>
      <c r="J108" s="2317">
        <f t="shared" si="33"/>
        <v>0</v>
      </c>
      <c r="K108" s="2317">
        <f t="shared" si="33"/>
        <v>0</v>
      </c>
      <c r="L108" s="2317">
        <f t="shared" si="33"/>
        <v>0</v>
      </c>
      <c r="M108" s="2317">
        <f t="shared" si="33"/>
        <v>0</v>
      </c>
      <c r="N108" s="2317">
        <f t="shared" si="33"/>
        <v>0</v>
      </c>
    </row>
    <row r="109" spans="1:14">
      <c r="A109" s="3572"/>
      <c r="B109" s="3574"/>
      <c r="C109" s="2318">
        <f>(-0.163*(C108^2)-0.59*C108+7617)*(10^(-4))/C101</f>
        <v>0.39466321243523317</v>
      </c>
      <c r="D109" s="2318">
        <f>(-0.163*(D108^2)-0.59*D108+7617)*(10^(-4))/D101</f>
        <v>0.39466321243523317</v>
      </c>
      <c r="E109" s="2318">
        <f>(-0.161*(E108^2)-7.509*E108+6533)*(10^(-4))/E101</f>
        <v>0.33849740932642486</v>
      </c>
      <c r="F109" s="2318">
        <f>(-0.161*(F108^2)-7.509*F108+6533)*(10^(-4))/F101</f>
        <v>0.33849740932642486</v>
      </c>
      <c r="G109" s="2318">
        <f>(-0.161*(G108^2)-7.509*G108+6533)*(10^(-4))/G101</f>
        <v>0.33849740932642486</v>
      </c>
      <c r="H109" s="2318">
        <f>(-0.161*(H108^2)-7.509*H108+6533)*(10^(-4))/H101</f>
        <v>0.33849740932642486</v>
      </c>
      <c r="I109" s="2318">
        <f>(-0.161*(I108^2)-7.509*I108+6533)*(10^(-4))/I101</f>
        <v>0.33849740932642486</v>
      </c>
      <c r="J109" s="2318">
        <f>(-0.214*(J108^2)-21.991*J108+4665)*(10^(-4))/J101</f>
        <v>0.24170984455958552</v>
      </c>
      <c r="K109" s="2318">
        <f>(-0.214*(K108^2)-21.991*K108+4665)*(10^(-4))/K101</f>
        <v>0.24170984455958552</v>
      </c>
      <c r="L109" s="2318">
        <f>(-0.214*(L108^2)-21.991*L108+4665)*(10^(-4))/L101</f>
        <v>0.24170984455958552</v>
      </c>
      <c r="M109" s="2318">
        <f>(-0.214*(M108^2)-21.991*M108+4665)*(10^(-4))/M101</f>
        <v>0.24170984455958552</v>
      </c>
      <c r="N109" s="2318">
        <f>(-0.214*(N108^2)-21.991*N108+4665)*(10^(-4))/N101</f>
        <v>0.24170984455958552</v>
      </c>
    </row>
    <row r="110" spans="1:14">
      <c r="A110" s="3568" t="s">
        <v>2737</v>
      </c>
      <c r="B110" s="3568"/>
      <c r="C110" s="3568"/>
      <c r="D110" s="3568"/>
      <c r="E110" s="3568"/>
      <c r="F110" s="3568"/>
      <c r="G110" s="3568"/>
      <c r="H110" s="3568"/>
      <c r="I110" s="3568"/>
      <c r="J110" s="3568"/>
      <c r="K110" s="2321"/>
      <c r="L110" s="2321"/>
      <c r="M110" s="2321"/>
      <c r="N110" s="2321"/>
    </row>
    <row r="112" spans="1:14" ht="13.5" thickBot="1"/>
    <row r="113" spans="1:13" ht="25.5" thickBot="1">
      <c r="A113" s="841" t="s">
        <v>2738</v>
      </c>
      <c r="B113" s="1196">
        <f>G3</f>
        <v>1.93</v>
      </c>
      <c r="C113" s="842" t="s">
        <v>2739</v>
      </c>
      <c r="D113" s="843">
        <f>SUMPRODUCT((A115:A118=F113)*(B114:M114=H113)*B115:M118)</f>
        <v>0.85940000000000005</v>
      </c>
      <c r="E113" s="2157" t="s">
        <v>2574</v>
      </c>
      <c r="F113" s="2323" t="str">
        <f>E2</f>
        <v>住宅</v>
      </c>
      <c r="G113" s="2157" t="s">
        <v>2575</v>
      </c>
      <c r="H113" s="2323" t="str">
        <f>G2</f>
        <v>七级</v>
      </c>
      <c r="I113" s="2157"/>
      <c r="J113" s="2324"/>
      <c r="K113" s="2324"/>
      <c r="L113" s="2324"/>
      <c r="M113" s="2324"/>
    </row>
    <row r="114" spans="1:13">
      <c r="A114" s="846"/>
      <c r="B114" s="2325" t="s">
        <v>2740</v>
      </c>
      <c r="C114" s="2325" t="s">
        <v>2741</v>
      </c>
      <c r="D114" s="2325" t="s">
        <v>2742</v>
      </c>
      <c r="E114" s="2326" t="s">
        <v>2743</v>
      </c>
      <c r="F114" s="2326" t="s">
        <v>2744</v>
      </c>
      <c r="G114" s="2326" t="s">
        <v>2745</v>
      </c>
      <c r="H114" s="2327" t="s">
        <v>2746</v>
      </c>
      <c r="I114" s="2327" t="s">
        <v>2747</v>
      </c>
      <c r="J114" s="2328" t="s">
        <v>2748</v>
      </c>
      <c r="K114" s="2328" t="s">
        <v>2749</v>
      </c>
      <c r="L114" s="2328" t="s">
        <v>2750</v>
      </c>
      <c r="M114" s="2329" t="s">
        <v>2751</v>
      </c>
    </row>
    <row r="115" spans="1:13">
      <c r="A115" s="847" t="s">
        <v>2638</v>
      </c>
      <c r="B115" s="848">
        <f>ROUND(0.9335-0.0094*B113,4)</f>
        <v>0.91539999999999999</v>
      </c>
      <c r="C115" s="848">
        <f>B115</f>
        <v>0.91539999999999999</v>
      </c>
      <c r="D115" s="848">
        <f>ROUND(0.8331-0.0109*B113,4)</f>
        <v>0.81210000000000004</v>
      </c>
      <c r="E115" s="848">
        <f>D115</f>
        <v>0.81210000000000004</v>
      </c>
      <c r="F115" s="848">
        <f>E115</f>
        <v>0.81210000000000004</v>
      </c>
      <c r="G115" s="848">
        <f>F115</f>
        <v>0.81210000000000004</v>
      </c>
      <c r="H115" s="848">
        <f>G115</f>
        <v>0.81210000000000004</v>
      </c>
      <c r="I115" s="848">
        <f>ROUND(0.689-0.0155*B113,4)</f>
        <v>0.65910000000000002</v>
      </c>
      <c r="J115" s="848">
        <f t="shared" ref="J115:M118" si="34">I115</f>
        <v>0.65910000000000002</v>
      </c>
      <c r="K115" s="848">
        <f t="shared" si="34"/>
        <v>0.65910000000000002</v>
      </c>
      <c r="L115" s="848">
        <f t="shared" si="34"/>
        <v>0.65910000000000002</v>
      </c>
      <c r="M115" s="849">
        <f t="shared" si="34"/>
        <v>0.65910000000000002</v>
      </c>
    </row>
    <row r="116" spans="1:13">
      <c r="A116" s="847" t="s">
        <v>2639</v>
      </c>
      <c r="B116" s="848">
        <f>ROUND(0.949-0.012*B113,4)</f>
        <v>0.92579999999999996</v>
      </c>
      <c r="C116" s="848">
        <f>B116</f>
        <v>0.92579999999999996</v>
      </c>
      <c r="D116" s="848">
        <f>ROUND(0.8567-0.013*B113,4)</f>
        <v>0.83160000000000001</v>
      </c>
      <c r="E116" s="848">
        <f t="shared" ref="E116:H117" si="35">D116</f>
        <v>0.83160000000000001</v>
      </c>
      <c r="F116" s="848">
        <f t="shared" si="35"/>
        <v>0.83160000000000001</v>
      </c>
      <c r="G116" s="848">
        <f t="shared" si="35"/>
        <v>0.83160000000000001</v>
      </c>
      <c r="H116" s="848">
        <f t="shared" si="35"/>
        <v>0.83160000000000001</v>
      </c>
      <c r="I116" s="848">
        <f>ROUND(0.7694-0.014*B113,4)</f>
        <v>0.74239999999999995</v>
      </c>
      <c r="J116" s="848">
        <f t="shared" si="34"/>
        <v>0.74239999999999995</v>
      </c>
      <c r="K116" s="848">
        <f t="shared" si="34"/>
        <v>0.74239999999999995</v>
      </c>
      <c r="L116" s="848">
        <f t="shared" si="34"/>
        <v>0.74239999999999995</v>
      </c>
      <c r="M116" s="849">
        <f t="shared" si="34"/>
        <v>0.74239999999999995</v>
      </c>
    </row>
    <row r="117" spans="1:13">
      <c r="A117" s="847" t="s">
        <v>2640</v>
      </c>
      <c r="B117" s="848">
        <f>ROUND(0.8808-0.006*B113,4)</f>
        <v>0.86919999999999997</v>
      </c>
      <c r="C117" s="848">
        <f>B117</f>
        <v>0.86919999999999997</v>
      </c>
      <c r="D117" s="848">
        <f>ROUND(0.8748-0.008*B113,4)</f>
        <v>0.85940000000000005</v>
      </c>
      <c r="E117" s="848">
        <f t="shared" si="35"/>
        <v>0.85940000000000005</v>
      </c>
      <c r="F117" s="848">
        <f t="shared" si="35"/>
        <v>0.85940000000000005</v>
      </c>
      <c r="G117" s="848">
        <f t="shared" si="35"/>
        <v>0.85940000000000005</v>
      </c>
      <c r="H117" s="848">
        <f t="shared" si="35"/>
        <v>0.85940000000000005</v>
      </c>
      <c r="I117" s="848">
        <f>ROUND(0.7412-0.0095*B113,4)</f>
        <v>0.72289999999999999</v>
      </c>
      <c r="J117" s="848">
        <f t="shared" si="34"/>
        <v>0.72289999999999999</v>
      </c>
      <c r="K117" s="848">
        <f t="shared" si="34"/>
        <v>0.72289999999999999</v>
      </c>
      <c r="L117" s="848">
        <f t="shared" si="34"/>
        <v>0.72289999999999999</v>
      </c>
      <c r="M117" s="849">
        <f t="shared" si="34"/>
        <v>0.72289999999999999</v>
      </c>
    </row>
    <row r="118" spans="1:13" ht="13.5" thickBot="1">
      <c r="A118" s="669" t="s">
        <v>2641</v>
      </c>
      <c r="B118" s="850">
        <f>ROUND(0.7275-0.01*B113,4)</f>
        <v>0.70820000000000005</v>
      </c>
      <c r="C118" s="850">
        <f>B118</f>
        <v>0.70820000000000005</v>
      </c>
      <c r="D118" s="850">
        <f>ROUND(0.7043-0.012*B113,4)</f>
        <v>0.68110000000000004</v>
      </c>
      <c r="E118" s="850">
        <f>D118</f>
        <v>0.68110000000000004</v>
      </c>
      <c r="F118" s="850">
        <f>E118</f>
        <v>0.68110000000000004</v>
      </c>
      <c r="G118" s="850">
        <f>ROUND(0.6299-0.0122*B113,4)</f>
        <v>0.60640000000000005</v>
      </c>
      <c r="H118" s="850">
        <f>G118</f>
        <v>0.60640000000000005</v>
      </c>
      <c r="I118" s="850">
        <f>ROUND(0.5667-0.0136*B113,4)</f>
        <v>0.54049999999999998</v>
      </c>
      <c r="J118" s="850">
        <f t="shared" si="34"/>
        <v>0.54049999999999998</v>
      </c>
      <c r="K118" s="850">
        <f t="shared" si="34"/>
        <v>0.54049999999999998</v>
      </c>
      <c r="L118" s="850">
        <f t="shared" si="34"/>
        <v>0.54049999999999998</v>
      </c>
      <c r="M118" s="851">
        <f t="shared" si="34"/>
        <v>0.54049999999999998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800-000000000000}">
      <formula1>"500米范围内,500-1000米,1000米以外"</formula1>
    </dataValidation>
    <dataValidation type="list" allowBlank="1" showInputMessage="1" showErrorMessage="1" sqref="C14:E14" xr:uid="{00000000-0002-0000-2800-000001000000}">
      <formula1>"有,无"</formula1>
    </dataValidation>
    <dataValidation type="list" allowBlank="1" showInputMessage="1" showErrorMessage="1" sqref="B21" xr:uid="{00000000-0002-0000-2800-000002000000}">
      <formula1>"容积率修正,楼层修正"</formula1>
    </dataValidation>
    <dataValidation type="list" allowBlank="1" showInputMessage="1" showErrorMessage="1" sqref="F17" xr:uid="{00000000-0002-0000-2800-000003000000}">
      <formula1>"与级别开发程度一致,与级别开发程度不一致"</formula1>
    </dataValidation>
    <dataValidation type="list" allowBlank="1" showInputMessage="1" showErrorMessage="1" sqref="E2" xr:uid="{00000000-0002-0000-2800-000004000000}">
      <formula1>"商业,办公,住宅,工业"</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81:C88 C70:C78 C48:C56 C59:C67" xr:uid="{00000000-0002-0000-2800-000008000000}">
      <formula1>五等判定</formula1>
    </dataValidation>
    <dataValidation type="list" allowBlank="1" showInputMessage="1" showErrorMessage="1" sqref="H19" xr:uid="{00000000-0002-0000-2800-000009000000}">
      <formula1>"地价指数,季度增幅（自定义）,按公示增长率计算"</formula1>
    </dataValidation>
    <dataValidation type="list" allowBlank="1" showInputMessage="1" showErrorMessage="1" sqref="H16:O16" xr:uid="{00000000-0002-0000-2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81" t="s">
        <v>183</v>
      </c>
      <c r="B18" s="820" t="s">
        <v>560</v>
      </c>
      <c r="C18" s="821" t="s">
        <v>561</v>
      </c>
      <c r="D18" s="822"/>
      <c r="E18" s="820">
        <v>1</v>
      </c>
      <c r="F18" s="823" t="s">
        <v>562</v>
      </c>
      <c r="G18" s="824"/>
      <c r="H18" s="816"/>
      <c r="I18" s="816"/>
    </row>
    <row r="19" spans="1:9" s="825" customFormat="1" ht="19.5" customHeight="1">
      <c r="A19" s="3581"/>
      <c r="B19" s="3581" t="s">
        <v>563</v>
      </c>
      <c r="C19" s="821" t="s">
        <v>564</v>
      </c>
      <c r="D19" s="822"/>
      <c r="E19" s="820">
        <v>0.9</v>
      </c>
      <c r="F19" s="823" t="s">
        <v>565</v>
      </c>
      <c r="G19" s="824"/>
      <c r="H19" s="816"/>
      <c r="I19" s="816"/>
    </row>
    <row r="20" spans="1:9" s="825" customFormat="1" ht="19.5" customHeight="1">
      <c r="A20" s="3581"/>
      <c r="B20" s="3581"/>
      <c r="C20" s="821" t="s">
        <v>566</v>
      </c>
      <c r="D20" s="822"/>
      <c r="E20" s="820">
        <v>1.1000000000000001</v>
      </c>
      <c r="F20" s="823" t="s">
        <v>567</v>
      </c>
      <c r="G20" s="824"/>
      <c r="H20" s="816"/>
      <c r="I20" s="816"/>
    </row>
    <row r="21" spans="1:9" s="825" customFormat="1" ht="19.5" customHeight="1">
      <c r="A21" s="3581"/>
      <c r="B21" s="3581"/>
      <c r="C21" s="821" t="s">
        <v>568</v>
      </c>
      <c r="D21" s="822"/>
      <c r="E21" s="820">
        <v>0.8</v>
      </c>
      <c r="F21" s="823" t="s">
        <v>569</v>
      </c>
      <c r="G21" s="824"/>
      <c r="H21" s="816"/>
      <c r="I21" s="816"/>
    </row>
    <row r="22" spans="1:9" s="825" customFormat="1" ht="19.5" customHeight="1">
      <c r="A22" s="3581"/>
      <c r="B22" s="3581"/>
      <c r="C22" s="821" t="s">
        <v>570</v>
      </c>
      <c r="D22" s="822"/>
      <c r="E22" s="820">
        <v>0.5</v>
      </c>
      <c r="F22" s="823"/>
      <c r="G22" s="824"/>
      <c r="H22" s="816"/>
      <c r="I22" s="816"/>
    </row>
    <row r="23" spans="1:9" s="825" customFormat="1" ht="19.5" customHeight="1">
      <c r="A23" s="3581" t="s">
        <v>184</v>
      </c>
      <c r="B23" s="820" t="s">
        <v>560</v>
      </c>
      <c r="C23" s="821" t="s">
        <v>571</v>
      </c>
      <c r="D23" s="822"/>
      <c r="E23" s="820">
        <v>1</v>
      </c>
      <c r="F23" s="823" t="s">
        <v>572</v>
      </c>
      <c r="G23" s="824"/>
      <c r="H23" s="816"/>
      <c r="I23" s="816"/>
    </row>
    <row r="24" spans="1:9" s="825" customFormat="1" ht="19.5" customHeight="1">
      <c r="A24" s="3581"/>
      <c r="B24" s="3581" t="s">
        <v>563</v>
      </c>
      <c r="C24" s="821" t="s">
        <v>573</v>
      </c>
      <c r="D24" s="822"/>
      <c r="E24" s="820">
        <v>0.5</v>
      </c>
      <c r="F24" s="823"/>
      <c r="G24" s="824"/>
      <c r="H24" s="816"/>
      <c r="I24" s="816"/>
    </row>
    <row r="25" spans="1:9" s="825" customFormat="1" ht="19.5" customHeight="1">
      <c r="A25" s="3581"/>
      <c r="B25" s="3581"/>
      <c r="C25" s="821" t="s">
        <v>574</v>
      </c>
      <c r="D25" s="822"/>
      <c r="E25" s="820">
        <v>1.1000000000000001</v>
      </c>
      <c r="F25" s="823"/>
      <c r="G25" s="824"/>
      <c r="H25" s="816"/>
      <c r="I25" s="816"/>
    </row>
    <row r="26" spans="1:9" s="825" customFormat="1" ht="19.5" customHeight="1">
      <c r="A26" s="3581"/>
      <c r="B26" s="3581"/>
      <c r="C26" s="821" t="s">
        <v>575</v>
      </c>
      <c r="D26" s="822"/>
      <c r="E26" s="820">
        <v>1.1000000000000001</v>
      </c>
      <c r="F26" s="823"/>
      <c r="G26" s="824"/>
      <c r="H26" s="816"/>
      <c r="I26" s="816"/>
    </row>
    <row r="27" spans="1:9" s="825" customFormat="1" ht="19.5" customHeight="1">
      <c r="A27" s="3581"/>
      <c r="B27" s="3581"/>
      <c r="C27" s="821" t="s">
        <v>576</v>
      </c>
      <c r="D27" s="822"/>
      <c r="E27" s="820">
        <v>0.9</v>
      </c>
      <c r="F27" s="823" t="s">
        <v>577</v>
      </c>
      <c r="G27" s="824"/>
      <c r="H27" s="816"/>
      <c r="I27" s="816"/>
    </row>
    <row r="28" spans="1:9" s="825" customFormat="1" ht="19.5" customHeight="1">
      <c r="A28" s="3581"/>
      <c r="B28" s="3581"/>
      <c r="C28" s="821" t="s">
        <v>578</v>
      </c>
      <c r="D28" s="822"/>
      <c r="E28" s="820">
        <v>0.9</v>
      </c>
      <c r="F28" s="823" t="s">
        <v>579</v>
      </c>
      <c r="G28" s="824"/>
      <c r="H28" s="816"/>
      <c r="I28" s="816"/>
    </row>
    <row r="29" spans="1:9" s="825" customFormat="1" ht="19.5" customHeight="1">
      <c r="A29" s="3581"/>
      <c r="B29" s="3581"/>
      <c r="C29" s="821" t="s">
        <v>580</v>
      </c>
      <c r="D29" s="822"/>
      <c r="E29" s="820">
        <v>0.9</v>
      </c>
      <c r="F29" s="823" t="s">
        <v>581</v>
      </c>
      <c r="G29" s="824"/>
      <c r="H29" s="816"/>
      <c r="I29" s="816"/>
    </row>
    <row r="30" spans="1:9" s="825" customFormat="1" ht="19.5" customHeight="1">
      <c r="A30" s="3581"/>
      <c r="B30" s="3581"/>
      <c r="C30" s="821" t="s">
        <v>582</v>
      </c>
      <c r="D30" s="822"/>
      <c r="E30" s="820">
        <v>0.9</v>
      </c>
      <c r="F30" s="823" t="s">
        <v>583</v>
      </c>
      <c r="G30" s="824"/>
      <c r="H30" s="816"/>
      <c r="I30" s="816"/>
    </row>
    <row r="31" spans="1:9" s="825" customFormat="1" ht="19.5" customHeight="1">
      <c r="A31" s="3581"/>
      <c r="B31" s="3581"/>
      <c r="C31" s="821" t="s">
        <v>584</v>
      </c>
      <c r="D31" s="822"/>
      <c r="E31" s="820">
        <v>0.8</v>
      </c>
      <c r="F31" s="823" t="s">
        <v>585</v>
      </c>
      <c r="G31" s="824"/>
      <c r="H31" s="816"/>
      <c r="I31" s="816"/>
    </row>
    <row r="32" spans="1:9" s="825" customFormat="1" ht="19.5" customHeight="1">
      <c r="A32" s="3581"/>
      <c r="B32" s="3581"/>
      <c r="C32" s="821" t="s">
        <v>586</v>
      </c>
      <c r="D32" s="822"/>
      <c r="E32" s="820">
        <v>0.8</v>
      </c>
      <c r="F32" s="823" t="s">
        <v>587</v>
      </c>
      <c r="G32" s="824"/>
      <c r="H32" s="816"/>
      <c r="I32" s="816"/>
    </row>
    <row r="33" spans="1:9" s="825" customFormat="1" ht="19.5" customHeight="1">
      <c r="A33" s="3581" t="s">
        <v>185</v>
      </c>
      <c r="B33" s="820" t="s">
        <v>560</v>
      </c>
      <c r="C33" s="821" t="s">
        <v>588</v>
      </c>
      <c r="D33" s="822"/>
      <c r="E33" s="820">
        <v>1</v>
      </c>
      <c r="F33" s="823" t="s">
        <v>589</v>
      </c>
      <c r="G33" s="824"/>
      <c r="H33" s="816"/>
      <c r="I33" s="816"/>
    </row>
    <row r="34" spans="1:9" s="825" customFormat="1" ht="19.5" customHeight="1">
      <c r="A34" s="3581"/>
      <c r="B34" s="820" t="s">
        <v>563</v>
      </c>
      <c r="C34" s="821" t="s">
        <v>590</v>
      </c>
      <c r="D34" s="822"/>
      <c r="E34" s="820">
        <v>1.5</v>
      </c>
      <c r="F34" s="823" t="s">
        <v>591</v>
      </c>
      <c r="G34" s="824"/>
      <c r="H34" s="816"/>
      <c r="I34" s="816"/>
    </row>
    <row r="35" spans="1:9" s="825" customFormat="1" ht="19.5" customHeight="1">
      <c r="A35" s="3581" t="s">
        <v>186</v>
      </c>
      <c r="B35" s="820" t="s">
        <v>560</v>
      </c>
      <c r="C35" s="821" t="s">
        <v>592</v>
      </c>
      <c r="D35" s="822"/>
      <c r="E35" s="820">
        <v>1</v>
      </c>
      <c r="F35" s="823" t="s">
        <v>593</v>
      </c>
      <c r="G35" s="824"/>
      <c r="H35" s="816"/>
      <c r="I35" s="816"/>
    </row>
    <row r="36" spans="1:9" s="825" customFormat="1" ht="19.5" customHeight="1">
      <c r="A36" s="3581"/>
      <c r="B36" s="3581" t="s">
        <v>563</v>
      </c>
      <c r="C36" s="821" t="s">
        <v>594</v>
      </c>
      <c r="D36" s="822"/>
      <c r="E36" s="820">
        <v>1</v>
      </c>
      <c r="F36" s="823" t="s">
        <v>595</v>
      </c>
      <c r="G36" s="824"/>
      <c r="H36" s="816"/>
      <c r="I36" s="816"/>
    </row>
    <row r="37" spans="1:9" s="825" customFormat="1" ht="19.5" customHeight="1">
      <c r="A37" s="3581"/>
      <c r="B37" s="3581"/>
      <c r="C37" s="821" t="s">
        <v>596</v>
      </c>
      <c r="D37" s="822"/>
      <c r="E37" s="820">
        <v>1.5</v>
      </c>
      <c r="F37" s="823" t="s">
        <v>597</v>
      </c>
      <c r="G37" s="824"/>
      <c r="H37" s="816"/>
      <c r="I37" s="816"/>
    </row>
    <row r="38" spans="1:9" s="825" customFormat="1" ht="19.5" customHeight="1">
      <c r="A38" s="3581"/>
      <c r="B38" s="3581"/>
      <c r="C38" s="821" t="s">
        <v>598</v>
      </c>
      <c r="D38" s="822"/>
      <c r="E38" s="820">
        <v>1</v>
      </c>
      <c r="F38" s="823" t="s">
        <v>599</v>
      </c>
      <c r="G38" s="824"/>
      <c r="H38" s="816"/>
      <c r="I38" s="816"/>
    </row>
    <row r="39" spans="1:9" s="825" customFormat="1" ht="19.5" customHeight="1">
      <c r="A39" s="3581"/>
      <c r="B39" s="3581"/>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81" t="s">
        <v>614</v>
      </c>
      <c r="C61" s="756" t="s">
        <v>615</v>
      </c>
      <c r="D61" s="756" t="s">
        <v>616</v>
      </c>
      <c r="E61" s="833">
        <v>0.5</v>
      </c>
      <c r="F61" s="820">
        <v>80</v>
      </c>
    </row>
    <row r="62" spans="1:8" s="816" customFormat="1" ht="24">
      <c r="A62" s="820">
        <v>2</v>
      </c>
      <c r="B62" s="3581"/>
      <c r="C62" s="756" t="s">
        <v>617</v>
      </c>
      <c r="D62" s="756" t="s">
        <v>618</v>
      </c>
      <c r="E62" s="833">
        <v>0.5</v>
      </c>
      <c r="F62" s="820">
        <v>80</v>
      </c>
    </row>
    <row r="63" spans="1:8" s="816" customFormat="1" ht="36">
      <c r="A63" s="820">
        <v>3</v>
      </c>
      <c r="B63" s="3581"/>
      <c r="C63" s="756" t="s">
        <v>619</v>
      </c>
      <c r="D63" s="756" t="s">
        <v>620</v>
      </c>
      <c r="E63" s="833">
        <v>0.5</v>
      </c>
      <c r="F63" s="820">
        <v>80</v>
      </c>
    </row>
    <row r="64" spans="1:8" s="816" customFormat="1" ht="36">
      <c r="A64" s="820">
        <v>4</v>
      </c>
      <c r="B64" s="3581"/>
      <c r="C64" s="756" t="s">
        <v>621</v>
      </c>
      <c r="D64" s="756" t="s">
        <v>622</v>
      </c>
      <c r="E64" s="833">
        <v>0.4</v>
      </c>
      <c r="F64" s="820">
        <v>60</v>
      </c>
    </row>
    <row r="65" spans="1:6" s="816" customFormat="1" ht="36">
      <c r="A65" s="820">
        <v>5</v>
      </c>
      <c r="B65" s="3581"/>
      <c r="C65" s="756" t="s">
        <v>623</v>
      </c>
      <c r="D65" s="756" t="s">
        <v>624</v>
      </c>
      <c r="E65" s="833">
        <v>0.2</v>
      </c>
      <c r="F65" s="820">
        <v>30</v>
      </c>
    </row>
    <row r="66" spans="1:6" s="816" customFormat="1" ht="36">
      <c r="A66" s="820">
        <v>6</v>
      </c>
      <c r="B66" s="3581"/>
      <c r="C66" s="756" t="s">
        <v>625</v>
      </c>
      <c r="D66" s="756" t="s">
        <v>626</v>
      </c>
      <c r="E66" s="833">
        <v>0.3</v>
      </c>
      <c r="F66" s="820">
        <v>50</v>
      </c>
    </row>
    <row r="67" spans="1:6" s="816" customFormat="1" ht="36">
      <c r="A67" s="820">
        <v>7</v>
      </c>
      <c r="B67" s="3581"/>
      <c r="C67" s="756" t="s">
        <v>627</v>
      </c>
      <c r="D67" s="756" t="s">
        <v>628</v>
      </c>
      <c r="E67" s="833">
        <v>0.2</v>
      </c>
      <c r="F67" s="820">
        <v>30</v>
      </c>
    </row>
    <row r="68" spans="1:6" s="816" customFormat="1" ht="36">
      <c r="A68" s="820">
        <v>8</v>
      </c>
      <c r="B68" s="3581"/>
      <c r="C68" s="756" t="s">
        <v>629</v>
      </c>
      <c r="D68" s="756" t="s">
        <v>630</v>
      </c>
      <c r="E68" s="833">
        <v>0.2</v>
      </c>
      <c r="F68" s="820">
        <v>30</v>
      </c>
    </row>
    <row r="69" spans="1:6" s="816" customFormat="1" ht="36">
      <c r="A69" s="820">
        <v>9</v>
      </c>
      <c r="B69" s="3581"/>
      <c r="C69" s="756" t="s">
        <v>631</v>
      </c>
      <c r="D69" s="756" t="s">
        <v>632</v>
      </c>
      <c r="E69" s="833">
        <v>0.2</v>
      </c>
      <c r="F69" s="820">
        <v>30</v>
      </c>
    </row>
    <row r="70" spans="1:6" s="816" customFormat="1" ht="48">
      <c r="A70" s="820">
        <v>10</v>
      </c>
      <c r="B70" s="3581"/>
      <c r="C70" s="756" t="s">
        <v>633</v>
      </c>
      <c r="D70" s="756" t="s">
        <v>634</v>
      </c>
      <c r="E70" s="833">
        <v>0.2</v>
      </c>
      <c r="F70" s="820">
        <v>30</v>
      </c>
    </row>
    <row r="71" spans="1:6" s="816" customFormat="1" ht="48">
      <c r="A71" s="820">
        <v>11</v>
      </c>
      <c r="B71" s="3581"/>
      <c r="C71" s="756" t="s">
        <v>635</v>
      </c>
      <c r="D71" s="756" t="s">
        <v>636</v>
      </c>
      <c r="E71" s="833">
        <v>0.2</v>
      </c>
      <c r="F71" s="820">
        <v>30</v>
      </c>
    </row>
    <row r="72" spans="1:6" s="816" customFormat="1" ht="36">
      <c r="A72" s="820">
        <v>12</v>
      </c>
      <c r="B72" s="3581"/>
      <c r="C72" s="756" t="s">
        <v>637</v>
      </c>
      <c r="D72" s="756" t="s">
        <v>638</v>
      </c>
      <c r="E72" s="833">
        <v>0.5</v>
      </c>
      <c r="F72" s="820">
        <v>80</v>
      </c>
    </row>
    <row r="73" spans="1:6" s="816" customFormat="1" ht="24">
      <c r="A73" s="820">
        <v>13</v>
      </c>
      <c r="B73" s="3581"/>
      <c r="C73" s="756" t="s">
        <v>639</v>
      </c>
      <c r="D73" s="756" t="s">
        <v>640</v>
      </c>
      <c r="E73" s="833">
        <v>0.4</v>
      </c>
      <c r="F73" s="820">
        <v>60</v>
      </c>
    </row>
    <row r="74" spans="1:6" s="816" customFormat="1" ht="24">
      <c r="A74" s="820">
        <v>14</v>
      </c>
      <c r="B74" s="3581"/>
      <c r="C74" s="756" t="s">
        <v>641</v>
      </c>
      <c r="D74" s="756" t="s">
        <v>642</v>
      </c>
      <c r="E74" s="833">
        <v>0.2</v>
      </c>
      <c r="F74" s="820">
        <v>30</v>
      </c>
    </row>
    <row r="75" spans="1:6" s="816" customFormat="1" ht="24">
      <c r="A75" s="820">
        <v>15</v>
      </c>
      <c r="B75" s="3581"/>
      <c r="C75" s="756" t="s">
        <v>643</v>
      </c>
      <c r="D75" s="756" t="s">
        <v>644</v>
      </c>
      <c r="E75" s="833">
        <v>0.2</v>
      </c>
      <c r="F75" s="820">
        <v>30</v>
      </c>
    </row>
    <row r="76" spans="1:6" s="816" customFormat="1" ht="24">
      <c r="A76" s="820">
        <v>16</v>
      </c>
      <c r="B76" s="3581" t="s">
        <v>645</v>
      </c>
      <c r="C76" s="756" t="s">
        <v>646</v>
      </c>
      <c r="D76" s="756" t="s">
        <v>647</v>
      </c>
      <c r="E76" s="833">
        <v>0.5</v>
      </c>
      <c r="F76" s="820">
        <v>80</v>
      </c>
    </row>
    <row r="77" spans="1:6" s="816" customFormat="1" ht="24">
      <c r="A77" s="820">
        <v>17</v>
      </c>
      <c r="B77" s="3581"/>
      <c r="C77" s="756" t="s">
        <v>648</v>
      </c>
      <c r="D77" s="756" t="s">
        <v>649</v>
      </c>
      <c r="E77" s="833">
        <v>0.5</v>
      </c>
      <c r="F77" s="820">
        <v>80</v>
      </c>
    </row>
    <row r="78" spans="1:6" s="816" customFormat="1" ht="24">
      <c r="A78" s="820">
        <v>18</v>
      </c>
      <c r="B78" s="3581"/>
      <c r="C78" s="756" t="s">
        <v>650</v>
      </c>
      <c r="D78" s="756" t="s">
        <v>651</v>
      </c>
      <c r="E78" s="833">
        <v>0.2</v>
      </c>
      <c r="F78" s="820">
        <v>30</v>
      </c>
    </row>
    <row r="79" spans="1:6" s="816" customFormat="1" ht="24">
      <c r="A79" s="820">
        <v>19</v>
      </c>
      <c r="B79" s="3581"/>
      <c r="C79" s="756" t="s">
        <v>652</v>
      </c>
      <c r="D79" s="756" t="s">
        <v>653</v>
      </c>
      <c r="E79" s="833">
        <v>0.5</v>
      </c>
      <c r="F79" s="820">
        <v>80</v>
      </c>
    </row>
    <row r="80" spans="1:6" s="816" customFormat="1" ht="36">
      <c r="A80" s="820">
        <v>20</v>
      </c>
      <c r="B80" s="3581"/>
      <c r="C80" s="756" t="s">
        <v>654</v>
      </c>
      <c r="D80" s="756" t="s">
        <v>655</v>
      </c>
      <c r="E80" s="833">
        <v>0.2</v>
      </c>
      <c r="F80" s="820">
        <v>30</v>
      </c>
    </row>
    <row r="81" spans="1:6" s="816" customFormat="1" ht="36">
      <c r="A81" s="820">
        <v>21</v>
      </c>
      <c r="B81" s="3581"/>
      <c r="C81" s="756" t="s">
        <v>656</v>
      </c>
      <c r="D81" s="756" t="s">
        <v>657</v>
      </c>
      <c r="E81" s="833">
        <v>0.2</v>
      </c>
      <c r="F81" s="820">
        <v>30</v>
      </c>
    </row>
    <row r="82" spans="1:6" s="816" customFormat="1" ht="48">
      <c r="A82" s="820">
        <v>22</v>
      </c>
      <c r="B82" s="3581"/>
      <c r="C82" s="756" t="s">
        <v>658</v>
      </c>
      <c r="D82" s="756" t="s">
        <v>659</v>
      </c>
      <c r="E82" s="833">
        <v>0.2</v>
      </c>
      <c r="F82" s="820">
        <v>30</v>
      </c>
    </row>
    <row r="83" spans="1:6" s="816" customFormat="1" ht="48">
      <c r="A83" s="820">
        <v>23</v>
      </c>
      <c r="B83" s="3581"/>
      <c r="C83" s="756" t="s">
        <v>660</v>
      </c>
      <c r="D83" s="756" t="s">
        <v>661</v>
      </c>
      <c r="E83" s="833">
        <v>0.2</v>
      </c>
      <c r="F83" s="820">
        <v>30</v>
      </c>
    </row>
    <row r="84" spans="1:6" s="816" customFormat="1" ht="36">
      <c r="A84" s="820">
        <v>24</v>
      </c>
      <c r="B84" s="3581"/>
      <c r="C84" s="756" t="s">
        <v>662</v>
      </c>
      <c r="D84" s="756" t="s">
        <v>663</v>
      </c>
      <c r="E84" s="833">
        <v>0.2</v>
      </c>
      <c r="F84" s="820">
        <v>30</v>
      </c>
    </row>
    <row r="85" spans="1:6" s="816" customFormat="1" ht="36">
      <c r="A85" s="820">
        <v>25</v>
      </c>
      <c r="B85" s="3581"/>
      <c r="C85" s="756" t="s">
        <v>664</v>
      </c>
      <c r="D85" s="756" t="s">
        <v>665</v>
      </c>
      <c r="E85" s="833">
        <v>0.5</v>
      </c>
      <c r="F85" s="820">
        <v>80</v>
      </c>
    </row>
    <row r="86" spans="1:6" s="816" customFormat="1" ht="36">
      <c r="A86" s="820">
        <v>26</v>
      </c>
      <c r="B86" s="3581"/>
      <c r="C86" s="756" t="s">
        <v>666</v>
      </c>
      <c r="D86" s="756" t="s">
        <v>667</v>
      </c>
      <c r="E86" s="833">
        <v>0.2</v>
      </c>
      <c r="F86" s="820">
        <v>30</v>
      </c>
    </row>
    <row r="87" spans="1:6" s="816" customFormat="1" ht="36">
      <c r="A87" s="820">
        <v>27</v>
      </c>
      <c r="B87" s="3581"/>
      <c r="C87" s="756" t="s">
        <v>668</v>
      </c>
      <c r="D87" s="756" t="s">
        <v>669</v>
      </c>
      <c r="E87" s="833">
        <v>0.2</v>
      </c>
      <c r="F87" s="820">
        <v>30</v>
      </c>
    </row>
    <row r="88" spans="1:6" s="816" customFormat="1" ht="36">
      <c r="A88" s="820">
        <v>28</v>
      </c>
      <c r="B88" s="3581"/>
      <c r="C88" s="756" t="s">
        <v>670</v>
      </c>
      <c r="D88" s="756" t="s">
        <v>671</v>
      </c>
      <c r="E88" s="833">
        <v>0.2</v>
      </c>
      <c r="F88" s="820">
        <v>30</v>
      </c>
    </row>
    <row r="89" spans="1:6" s="816" customFormat="1" ht="24">
      <c r="A89" s="820">
        <v>29</v>
      </c>
      <c r="B89" s="3581"/>
      <c r="C89" s="756" t="s">
        <v>672</v>
      </c>
      <c r="D89" s="756" t="s">
        <v>673</v>
      </c>
      <c r="E89" s="833">
        <v>0.2</v>
      </c>
      <c r="F89" s="820">
        <v>30</v>
      </c>
    </row>
    <row r="90" spans="1:6" s="816" customFormat="1" ht="24">
      <c r="A90" s="820">
        <v>30</v>
      </c>
      <c r="B90" s="3581"/>
      <c r="C90" s="756" t="s">
        <v>674</v>
      </c>
      <c r="D90" s="756" t="s">
        <v>675</v>
      </c>
      <c r="E90" s="833">
        <v>0.2</v>
      </c>
      <c r="F90" s="820">
        <v>30</v>
      </c>
    </row>
    <row r="91" spans="1:6" s="816" customFormat="1" ht="36">
      <c r="A91" s="820">
        <v>31</v>
      </c>
      <c r="B91" s="3581"/>
      <c r="C91" s="756" t="s">
        <v>676</v>
      </c>
      <c r="D91" s="756" t="s">
        <v>677</v>
      </c>
      <c r="E91" s="833">
        <v>0.2</v>
      </c>
      <c r="F91" s="820">
        <v>30</v>
      </c>
    </row>
    <row r="92" spans="1:6" s="816" customFormat="1" ht="24">
      <c r="A92" s="820">
        <v>32</v>
      </c>
      <c r="B92" s="3581" t="s">
        <v>678</v>
      </c>
      <c r="C92" s="820" t="s">
        <v>679</v>
      </c>
      <c r="D92" s="756" t="s">
        <v>680</v>
      </c>
      <c r="E92" s="833">
        <v>0.2</v>
      </c>
      <c r="F92" s="820">
        <v>30</v>
      </c>
    </row>
    <row r="93" spans="1:6" s="816" customFormat="1" ht="36">
      <c r="A93" s="820">
        <v>33</v>
      </c>
      <c r="B93" s="3581"/>
      <c r="C93" s="820" t="s">
        <v>681</v>
      </c>
      <c r="D93" s="756" t="s">
        <v>682</v>
      </c>
      <c r="E93" s="833">
        <v>0.2</v>
      </c>
      <c r="F93" s="820">
        <v>30</v>
      </c>
    </row>
    <row r="94" spans="1:6" s="816" customFormat="1" ht="48">
      <c r="A94" s="820">
        <v>34</v>
      </c>
      <c r="B94" s="3581"/>
      <c r="C94" s="820" t="s">
        <v>683</v>
      </c>
      <c r="D94" s="756" t="s">
        <v>684</v>
      </c>
      <c r="E94" s="833">
        <v>0.2</v>
      </c>
      <c r="F94" s="820">
        <v>30</v>
      </c>
    </row>
    <row r="95" spans="1:6" s="816" customFormat="1" ht="36">
      <c r="A95" s="820">
        <v>35</v>
      </c>
      <c r="B95" s="3581"/>
      <c r="C95" s="820" t="s">
        <v>685</v>
      </c>
      <c r="D95" s="756" t="s">
        <v>686</v>
      </c>
      <c r="E95" s="833">
        <v>0.2</v>
      </c>
      <c r="F95" s="820">
        <v>30</v>
      </c>
    </row>
    <row r="96" spans="1:6" s="816" customFormat="1" ht="48">
      <c r="A96" s="820">
        <v>36</v>
      </c>
      <c r="B96" s="3581"/>
      <c r="C96" s="756" t="s">
        <v>687</v>
      </c>
      <c r="D96" s="756" t="s">
        <v>688</v>
      </c>
      <c r="E96" s="833">
        <v>0.2</v>
      </c>
      <c r="F96" s="820">
        <v>30</v>
      </c>
    </row>
    <row r="97" spans="1:6" s="816" customFormat="1" ht="36">
      <c r="A97" s="820">
        <v>37</v>
      </c>
      <c r="B97" s="3581"/>
      <c r="C97" s="820" t="s">
        <v>689</v>
      </c>
      <c r="D97" s="756" t="s">
        <v>690</v>
      </c>
      <c r="E97" s="833">
        <v>0.2</v>
      </c>
      <c r="F97" s="820">
        <v>30</v>
      </c>
    </row>
    <row r="98" spans="1:6" s="816" customFormat="1" ht="36">
      <c r="A98" s="820">
        <v>38</v>
      </c>
      <c r="B98" s="3581"/>
      <c r="C98" s="820" t="s">
        <v>691</v>
      </c>
      <c r="D98" s="756" t="s">
        <v>692</v>
      </c>
      <c r="E98" s="833">
        <v>0.2</v>
      </c>
      <c r="F98" s="820">
        <v>30</v>
      </c>
    </row>
    <row r="99" spans="1:6" s="816" customFormat="1" ht="36">
      <c r="A99" s="820">
        <v>39</v>
      </c>
      <c r="B99" s="3581" t="s">
        <v>693</v>
      </c>
      <c r="C99" s="820" t="s">
        <v>694</v>
      </c>
      <c r="D99" s="756" t="s">
        <v>695</v>
      </c>
      <c r="E99" s="833">
        <v>0.3</v>
      </c>
      <c r="F99" s="820">
        <v>50</v>
      </c>
    </row>
    <row r="100" spans="1:6" s="816" customFormat="1" ht="24">
      <c r="A100" s="820">
        <v>40</v>
      </c>
      <c r="B100" s="3581"/>
      <c r="C100" s="820" t="s">
        <v>696</v>
      </c>
      <c r="D100" s="756" t="s">
        <v>697</v>
      </c>
      <c r="E100" s="833">
        <v>0.2</v>
      </c>
      <c r="F100" s="820">
        <v>30</v>
      </c>
    </row>
    <row r="101" spans="1:6" s="816" customFormat="1" ht="36">
      <c r="A101" s="820">
        <v>41</v>
      </c>
      <c r="B101" s="3581"/>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81" t="s">
        <v>708</v>
      </c>
      <c r="C105" s="820" t="s">
        <v>709</v>
      </c>
      <c r="D105" s="756" t="s">
        <v>710</v>
      </c>
      <c r="E105" s="833">
        <v>0.2</v>
      </c>
      <c r="F105" s="820">
        <v>30</v>
      </c>
    </row>
    <row r="106" spans="1:6" s="816" customFormat="1" ht="36">
      <c r="A106" s="820">
        <v>46</v>
      </c>
      <c r="B106" s="3581"/>
      <c r="C106" s="820" t="s">
        <v>711</v>
      </c>
      <c r="D106" s="756" t="s">
        <v>712</v>
      </c>
      <c r="E106" s="833">
        <v>0.2</v>
      </c>
      <c r="F106" s="820">
        <v>30</v>
      </c>
    </row>
    <row r="107" spans="1:6" s="816" customFormat="1" ht="36">
      <c r="A107" s="820">
        <v>47</v>
      </c>
      <c r="B107" s="3581" t="s">
        <v>713</v>
      </c>
      <c r="C107" s="820" t="s">
        <v>714</v>
      </c>
      <c r="D107" s="756" t="s">
        <v>715</v>
      </c>
      <c r="E107" s="833">
        <v>0.3</v>
      </c>
      <c r="F107" s="820">
        <v>50</v>
      </c>
    </row>
    <row r="108" spans="1:6" s="816" customFormat="1" ht="36">
      <c r="A108" s="820">
        <v>48</v>
      </c>
      <c r="B108" s="3581"/>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81" t="s">
        <v>724</v>
      </c>
      <c r="C111" s="820" t="s">
        <v>725</v>
      </c>
      <c r="D111" s="756" t="s">
        <v>726</v>
      </c>
      <c r="E111" s="833">
        <v>0.2</v>
      </c>
      <c r="F111" s="820">
        <v>30</v>
      </c>
    </row>
    <row r="112" spans="1:6" s="816" customFormat="1" ht="24">
      <c r="A112" s="820">
        <v>52</v>
      </c>
      <c r="B112" s="3581"/>
      <c r="C112" s="820" t="s">
        <v>727</v>
      </c>
      <c r="D112" s="756" t="s">
        <v>728</v>
      </c>
      <c r="E112" s="833">
        <v>0.2</v>
      </c>
      <c r="F112" s="820">
        <v>30</v>
      </c>
    </row>
    <row r="113" spans="1:6" s="816" customFormat="1" ht="24">
      <c r="A113" s="820">
        <v>53</v>
      </c>
      <c r="B113" s="3581"/>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81" t="s">
        <v>737</v>
      </c>
      <c r="C116" s="820" t="s">
        <v>738</v>
      </c>
      <c r="D116" s="756" t="s">
        <v>739</v>
      </c>
      <c r="E116" s="833">
        <v>0.2</v>
      </c>
      <c r="F116" s="820">
        <v>30</v>
      </c>
    </row>
    <row r="117" spans="1:6" ht="36">
      <c r="A117" s="820">
        <v>57</v>
      </c>
      <c r="B117" s="3581"/>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1.0901000000000001</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2760</v>
      </c>
      <c r="B1" s="2332"/>
      <c r="C1" s="2332"/>
      <c r="D1" s="2332"/>
      <c r="E1" s="2332"/>
      <c r="F1" s="2993"/>
      <c r="G1" s="2993"/>
      <c r="H1" s="2993"/>
      <c r="I1" s="2993"/>
      <c r="J1" s="2993"/>
      <c r="K1" s="2993"/>
      <c r="L1" s="2993"/>
      <c r="M1" s="2993"/>
      <c r="N1" s="2993"/>
      <c r="O1" s="2993"/>
      <c r="P1" s="2993"/>
    </row>
    <row r="2" spans="1:16" ht="15.75">
      <c r="A2" s="2330" t="s">
        <v>2752</v>
      </c>
      <c r="B2" s="2797">
        <f ca="1">SUMIF(B6:B13,"&lt;&gt;#ref!",B6:B13)</f>
        <v>6948</v>
      </c>
      <c r="C2" s="2330" t="s">
        <v>2753</v>
      </c>
      <c r="D2" s="2330" t="s">
        <v>2754</v>
      </c>
      <c r="E2" s="2807">
        <f ca="1">SUMIF(E6:E13,"&lt;&gt;#ref!",E6:E13)</f>
        <v>20815.18</v>
      </c>
      <c r="F2" s="2993"/>
      <c r="G2" s="2993"/>
      <c r="H2" s="2993"/>
      <c r="I2" s="2993"/>
      <c r="J2" s="2993"/>
      <c r="K2" s="2993"/>
      <c r="L2" s="2993"/>
      <c r="M2" s="2993"/>
      <c r="N2" s="2993"/>
      <c r="O2" s="2993"/>
      <c r="P2" s="2993"/>
    </row>
    <row r="3" spans="1:16" ht="15.75">
      <c r="A3" s="2330" t="s">
        <v>2755</v>
      </c>
      <c r="B3" s="2797">
        <f ca="1">ROUND(B2*10000/E2,0)</f>
        <v>3338</v>
      </c>
      <c r="C3" s="2330" t="s">
        <v>2761</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2756</v>
      </c>
      <c r="B5" s="2805" t="s">
        <v>2757</v>
      </c>
      <c r="C5" s="2331"/>
      <c r="D5" s="2993"/>
      <c r="E5" s="2806" t="s">
        <v>2758</v>
      </c>
      <c r="F5" s="2993"/>
      <c r="G5" s="2993"/>
      <c r="H5" s="2993"/>
      <c r="I5" s="2993"/>
      <c r="J5" s="2993"/>
      <c r="K5" s="2993"/>
      <c r="L5" s="2993"/>
      <c r="M5" s="2993"/>
      <c r="N5" s="2993"/>
      <c r="O5" s="2993"/>
      <c r="P5" s="2993"/>
    </row>
    <row r="6" spans="1:16" ht="15.75">
      <c r="A6" s="2804" t="s">
        <v>2759</v>
      </c>
      <c r="B6" s="2797">
        <f ca="1">SUMIF(INDIRECT("'"&amp;A6&amp;"'"&amp;"!A:A"),"总价",INDIRECT("'"&amp;A6&amp;"'"&amp;"!B:B"))</f>
        <v>6948</v>
      </c>
      <c r="C6" s="2330" t="s">
        <v>2753</v>
      </c>
      <c r="D6" s="2993"/>
      <c r="E6" s="2807">
        <f ca="1">SUMIF(INDIRECT("'"&amp;A6&amp;"'"&amp;"!C:C"),"建筑面积",INDIRECT("'"&amp;A6&amp;"'"&amp;"!D:D"))</f>
        <v>20815.18</v>
      </c>
      <c r="F6" s="2993"/>
      <c r="G6" s="2993"/>
      <c r="H6" s="2993"/>
      <c r="I6" s="2993"/>
      <c r="J6" s="2993"/>
      <c r="K6" s="2993"/>
      <c r="L6" s="2993"/>
      <c r="M6" s="2993"/>
      <c r="N6" s="2993"/>
      <c r="O6" s="2993"/>
      <c r="P6" s="2993"/>
    </row>
    <row r="7" spans="1:16" ht="15.75">
      <c r="A7" s="2804"/>
      <c r="B7" s="2797" t="e">
        <f ca="1">SUMIF(INDIRECT("'"&amp;A7&amp;"'"&amp;"!A:A"),"总价",INDIRECT("'"&amp;A7&amp;"'"&amp;"!B:B"))</f>
        <v>#REF!</v>
      </c>
      <c r="C7" s="2330" t="s">
        <v>2753</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2753</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2753</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2753</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2753</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2753</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2753</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H120"/>
  <sheetViews>
    <sheetView zoomScale="80" zoomScaleNormal="80" workbookViewId="0">
      <selection activeCell="L14" sqref="L14"/>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7" t="s">
        <v>1058</v>
      </c>
      <c r="C1" s="3587"/>
      <c r="D1" s="3587"/>
      <c r="E1" s="3587"/>
      <c r="F1" s="3587"/>
      <c r="G1" s="3586" t="s">
        <v>1059</v>
      </c>
      <c r="H1" s="3586"/>
      <c r="I1" s="3586"/>
      <c r="J1" s="3586"/>
      <c r="K1" s="3586"/>
      <c r="L1" s="3586"/>
      <c r="N1" s="3586" t="s">
        <v>1060</v>
      </c>
      <c r="O1" s="3586"/>
      <c r="P1" s="3586"/>
      <c r="Q1" s="3586"/>
      <c r="S1" s="3586" t="s">
        <v>1061</v>
      </c>
      <c r="T1" s="3586"/>
      <c r="U1" s="3586"/>
      <c r="V1" s="3586"/>
      <c r="X1" s="3585" t="s">
        <v>1062</v>
      </c>
      <c r="Y1" s="3586"/>
      <c r="Z1" s="3586"/>
      <c r="AA1" s="3586"/>
      <c r="AB1" s="3586"/>
      <c r="AD1" s="3585" t="s">
        <v>1063</v>
      </c>
      <c r="AE1" s="3586"/>
      <c r="AF1" s="3586"/>
      <c r="AG1" s="3586"/>
      <c r="AH1" s="3586"/>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2793</v>
      </c>
      <c r="B3" s="2364"/>
      <c r="C3" s="2364"/>
      <c r="D3" s="2365"/>
      <c r="E3" s="2365"/>
      <c r="F3" s="2364"/>
      <c r="G3" s="2366"/>
      <c r="H3" s="2367"/>
      <c r="I3" s="2368">
        <f>ROUND(AVERAGE($I4:$I37),2)</f>
        <v>1.64</v>
      </c>
      <c r="J3" s="2368">
        <f>ROUND(AVERAGE($J4:$J37),2)</f>
        <v>1.03</v>
      </c>
      <c r="K3" s="2368">
        <f>ROUND(AVERAGE($K4:$K37),2)</f>
        <v>1.81</v>
      </c>
      <c r="L3" s="2368">
        <f>ROUND(AVERAGE($L4:$L37),2)</f>
        <v>1.2</v>
      </c>
      <c r="N3" s="2366"/>
      <c r="S3" s="2366"/>
      <c r="W3" s="2370"/>
      <c r="X3" s="2371">
        <f>ROUND(SUMPRODUCT(PRODUCT(1+N3:N$36)),4)</f>
        <v>1.6585000000000001</v>
      </c>
      <c r="Y3" s="2371">
        <f>ROUND(SUMPRODUCT(PRODUCT(1+O3:O$36)),4)</f>
        <v>1.3676999999999999</v>
      </c>
      <c r="Z3" s="2371">
        <f t="shared" ref="Z3:Z34" si="0">Y3</f>
        <v>1.3676999999999999</v>
      </c>
      <c r="AA3" s="2371">
        <f>ROUND(SUMPRODUCT(PRODUCT(1+P3:P$36)),4)</f>
        <v>1.7434000000000001</v>
      </c>
      <c r="AB3" s="2371">
        <f>ROUND(SUMPRODUCT(PRODUCT(1+Q3:Q$36)),4)</f>
        <v>1.4609000000000001</v>
      </c>
      <c r="AD3" s="2372">
        <f>ROUND(AVERAGE(I3:I$37)/100,4)</f>
        <v>1.6400000000000001E-2</v>
      </c>
      <c r="AE3" s="2372">
        <f>ROUND(AVERAGE(J3:J$37)/100,4)</f>
        <v>1.03E-2</v>
      </c>
      <c r="AF3" s="2372">
        <f t="shared" ref="AF3:AF35" si="1">AE3</f>
        <v>1.03E-2</v>
      </c>
      <c r="AG3" s="2372">
        <f>ROUND(AVERAGE(K3:K$37)/100,4)</f>
        <v>1.8100000000000002E-2</v>
      </c>
      <c r="AH3" s="2372">
        <f>ROUND(AVERAGE(L3:L$37)/100,4)</f>
        <v>1.2E-2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510.07089659554606</v>
      </c>
      <c r="C5" s="2382">
        <f t="shared" ref="C5" si="3">C6*(1+O5)</f>
        <v>352.55593185737411</v>
      </c>
      <c r="D5" s="2382">
        <f t="shared" ref="D5" si="4">C5</f>
        <v>352.55593185737411</v>
      </c>
      <c r="E5" s="2382">
        <f t="shared" ref="E5" si="5">E6*(1+P5)</f>
        <v>737.27992463403655</v>
      </c>
      <c r="F5" s="2382">
        <f t="shared" ref="F5" si="6">F6*(1+Q5)</f>
        <v>335.88319198297864</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2794</v>
      </c>
      <c r="X5" s="2390">
        <f>ROUND(IF(项目基本情况!B1="出让",SUMPRODUCT(PRODUCT(1+N5:N$37)),SUMPRODUCT(PRODUCT(1+N5:N$36))),4)</f>
        <v>1.6585000000000001</v>
      </c>
      <c r="Y5" s="2390">
        <f>ROUND(IF(项目基本情况!B1="出让",SUMPRODUCT(PRODUCT(1+O5:O$37)),SUMPRODUCT(PRODUCT(1+O5:O$36))),4)</f>
        <v>1.3676999999999999</v>
      </c>
      <c r="Z5" s="2390">
        <f t="shared" ref="Z5" si="11">Y5</f>
        <v>1.3676999999999999</v>
      </c>
      <c r="AA5" s="2390">
        <f>ROUND(IF(项目基本情况!B1="出让",SUMPRODUCT(PRODUCT(1+P5:P$37)),SUMPRODUCT(PRODUCT(1+P5:P$36))),4)</f>
        <v>1.7434000000000001</v>
      </c>
      <c r="AB5" s="2390">
        <f>ROUND(IF(项目基本情况!B1="出让",SUMPRODUCT(PRODUCT(1+Q5:Q$37)),SUMPRODUCT(PRODUCT(1+Q5:Q$36))),4)</f>
        <v>1.4609000000000001</v>
      </c>
      <c r="AD5" s="2391">
        <f>ROUND(AVERAGE(I5:I$37)/100,4)</f>
        <v>1.6400000000000001E-2</v>
      </c>
      <c r="AE5" s="2391">
        <f>ROUND(AVERAGE(J5:J$37)/100,4)</f>
        <v>1.03E-2</v>
      </c>
      <c r="AF5" s="2391">
        <f t="shared" ref="AF5" si="12">AE5</f>
        <v>1.03E-2</v>
      </c>
      <c r="AG5" s="2391">
        <f>ROUND(AVERAGE(K5:K$37)/100,4)</f>
        <v>1.8100000000000002E-2</v>
      </c>
      <c r="AH5" s="2391">
        <f>ROUND(AVERAGE(L5:L$37)/100,4)</f>
        <v>1.2E-2</v>
      </c>
    </row>
    <row r="6" spans="1:34" s="2399" customFormat="1">
      <c r="A6" s="2392" t="s">
        <v>3125</v>
      </c>
      <c r="B6" s="2393">
        <f t="shared" ref="B6" si="13">B7*(1+N6)</f>
        <v>510.07089659554606</v>
      </c>
      <c r="C6" s="2393">
        <f t="shared" ref="C6" si="14">C7*(1+O6)</f>
        <v>352.55593185737411</v>
      </c>
      <c r="D6" s="2393">
        <f t="shared" ref="D6" si="15">C6</f>
        <v>352.55593185737411</v>
      </c>
      <c r="E6" s="2393">
        <f t="shared" ref="E6" si="16">E7*(1+P6)</f>
        <v>737.27992463403655</v>
      </c>
      <c r="F6" s="2393">
        <f t="shared" ref="F6" si="17">F7*(1+Q6)</f>
        <v>335.88319198297864</v>
      </c>
      <c r="G6" s="3205">
        <v>2021</v>
      </c>
      <c r="H6" s="2394">
        <v>4</v>
      </c>
      <c r="I6" s="2356">
        <v>1.03</v>
      </c>
      <c r="J6" s="2356">
        <v>0.24</v>
      </c>
      <c r="K6" s="2356">
        <v>1.17</v>
      </c>
      <c r="L6" s="2357">
        <v>0.55000000000000004</v>
      </c>
      <c r="M6" s="2379"/>
      <c r="N6" s="2395">
        <f t="shared" ref="N6" si="18">I6/100</f>
        <v>1.03E-2</v>
      </c>
      <c r="O6" s="2380">
        <f t="shared" ref="O6" si="19">J6/100</f>
        <v>2.3999999999999998E-3</v>
      </c>
      <c r="P6" s="2380">
        <f t="shared" ref="P6" si="20">K6/100</f>
        <v>1.1699999999999999E-2</v>
      </c>
      <c r="Q6" s="2380">
        <f t="shared" ref="Q6" si="21">L6/100</f>
        <v>5.5000000000000005E-3</v>
      </c>
      <c r="R6" s="2396"/>
      <c r="S6" s="2395"/>
      <c r="T6" s="2380"/>
      <c r="U6" s="2380"/>
      <c r="V6" s="2380"/>
      <c r="W6" s="2397"/>
      <c r="X6" s="2397">
        <f>ROUND(IF(项目基本情况!B2="出让",SUMPRODUCT(PRODUCT(1+N6:N$37)),SUMPRODUCT(PRODUCT(1+N6:N$36))),4)</f>
        <v>1.6585000000000001</v>
      </c>
      <c r="Y6" s="2397">
        <f>ROUND(IF(项目基本情况!B2="出让",SUMPRODUCT(PRODUCT(1+O6:O$37)),SUMPRODUCT(PRODUCT(1+O6:O$36))),4)</f>
        <v>1.3676999999999999</v>
      </c>
      <c r="Z6" s="2397">
        <f t="shared" ref="Z6" si="22">Y6</f>
        <v>1.3676999999999999</v>
      </c>
      <c r="AA6" s="2397">
        <f>ROUND(IF(项目基本情况!B2="出让",SUMPRODUCT(PRODUCT(1+P6:P$37)),SUMPRODUCT(PRODUCT(1+P6:P$36))),4)</f>
        <v>1.7434000000000001</v>
      </c>
      <c r="AB6" s="2397">
        <f>ROUND(IF(项目基本情况!B2="出让",SUMPRODUCT(PRODUCT(1+Q6:Q$37)),SUMPRODUCT(PRODUCT(1+Q6:Q$36))),4)</f>
        <v>1.4609000000000001</v>
      </c>
      <c r="AC6" s="2397"/>
      <c r="AD6" s="2398">
        <f>ROUND(AVERAGE(I6:I$37)/100,4)</f>
        <v>1.6899999999999998E-2</v>
      </c>
      <c r="AE6" s="2398">
        <f>ROUND(AVERAGE(J6:J$37)/100,4)</f>
        <v>1.06E-2</v>
      </c>
      <c r="AF6" s="2398">
        <f t="shared" ref="AF6" si="23">AE6</f>
        <v>1.06E-2</v>
      </c>
      <c r="AG6" s="2398">
        <f>ROUND(AVERAGE(K6:K$37)/100,4)</f>
        <v>1.8700000000000001E-2</v>
      </c>
      <c r="AH6" s="2398">
        <f>ROUND(AVERAGE(L6:L$37)/100,4)</f>
        <v>1.24E-2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2997</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2996</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2810</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2808</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2807</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2806</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2804</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2802</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2805</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3">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2800</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3"/>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2799</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3"/>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2792</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92"/>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2790</v>
      </c>
      <c r="B22" s="2407">
        <v>439</v>
      </c>
      <c r="C22" s="2407">
        <v>327</v>
      </c>
      <c r="D22" s="2407">
        <f>C22</f>
        <v>327</v>
      </c>
      <c r="E22" s="2407">
        <v>627</v>
      </c>
      <c r="F22" s="2408">
        <v>283</v>
      </c>
      <c r="G22" s="3588">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2791</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3"/>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3"/>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92"/>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8">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3"/>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3"/>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4"/>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2">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3"/>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3"/>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4"/>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2">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3"/>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3"/>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4"/>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9">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90"/>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90"/>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91"/>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2">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3"/>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3"/>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4"/>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2">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3">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3">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4">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2">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3">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3">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4">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2">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3">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3">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4">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2">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3">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3">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4">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2">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3">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3">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4">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2">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3">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3">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4">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2">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3">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3">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4">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2">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3">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3">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4">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2">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3">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3">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4">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2">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3">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3">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4">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3"/>
    <col min="46" max="16384" width="9" style="135"/>
  </cols>
  <sheetData>
    <row r="1" spans="1:45" ht="14.25" customHeight="1" thickBot="1">
      <c r="A1" s="150"/>
      <c r="B1" s="1113" t="s">
        <v>2762</v>
      </c>
      <c r="C1" s="3596" t="s">
        <v>2763</v>
      </c>
      <c r="D1" s="3597"/>
      <c r="E1" s="3597"/>
      <c r="F1" s="3597"/>
      <c r="G1" s="3597"/>
      <c r="H1" s="3597"/>
      <c r="I1" s="3597"/>
      <c r="J1" s="3597"/>
      <c r="K1" s="3597"/>
      <c r="L1" s="3597"/>
      <c r="M1" s="3597"/>
      <c r="N1" s="3597"/>
      <c r="O1" s="3597"/>
      <c r="P1" s="3597"/>
      <c r="Q1" s="3597"/>
      <c r="R1" s="3597"/>
      <c r="S1" s="3598"/>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1475" t="s">
        <v>2766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476" t="s">
        <v>2767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476" t="s">
        <v>2768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475"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475"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475"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3" t="s">
        <v>2772</v>
      </c>
      <c r="B17" s="2334"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3"/>
      <c r="C19" s="163"/>
      <c r="D19" s="2335" t="s">
        <v>2774</v>
      </c>
      <c r="E19" s="1493"/>
      <c r="F19" s="1493"/>
      <c r="G19" s="1493"/>
      <c r="H19" s="1189"/>
      <c r="I19" s="163"/>
      <c r="J19" s="163"/>
      <c r="K19" s="163"/>
      <c r="L19" s="163"/>
      <c r="M19" s="163"/>
      <c r="N19" s="163"/>
      <c r="O19" s="163"/>
      <c r="P19" s="163"/>
      <c r="Q19" s="163"/>
      <c r="R19" s="726"/>
      <c r="S19" s="134"/>
    </row>
    <row r="20" spans="1:45" ht="16.5" thickBot="1">
      <c r="A20" s="670" t="s">
        <v>2775</v>
      </c>
      <c r="B20" s="299" t="e">
        <f ca="1">IF(D20="——",S22,S22-F20)</f>
        <v>#REF!</v>
      </c>
      <c r="C20" s="163"/>
      <c r="D20" s="2336"/>
      <c r="E20" s="1494"/>
      <c r="F20" s="1113" t="e">
        <f ca="1">SUMIF(INDIRECT("'"&amp;H20&amp;"'"&amp;"!A:A"),"承租人权益价值",INDIRECT("'"&amp;H20&amp;"'"&amp;"!c:c"))</f>
        <v>#REF!</v>
      </c>
      <c r="G20" s="1113" t="s">
        <v>2776</v>
      </c>
      <c r="H20" s="2337"/>
      <c r="I20" s="163"/>
      <c r="J20" s="163"/>
      <c r="K20" s="163"/>
      <c r="L20" s="163"/>
      <c r="M20" s="163"/>
      <c r="N20" s="163"/>
      <c r="O20" s="163"/>
      <c r="P20" s="163"/>
      <c r="Q20" s="163"/>
      <c r="R20" s="726"/>
      <c r="S20" s="134"/>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4"/>
    </row>
    <row r="22" spans="1:45">
      <c r="A22" s="321" t="s">
        <v>2778</v>
      </c>
      <c r="B22" s="24">
        <f>SUM(B24:B10000)</f>
        <v>100</v>
      </c>
      <c r="C22" s="3593" t="s">
        <v>33</v>
      </c>
      <c r="D22" s="3594"/>
      <c r="E22" s="3594"/>
      <c r="F22" s="3594"/>
      <c r="G22" s="3594"/>
      <c r="H22" s="3594"/>
      <c r="I22" s="3594"/>
      <c r="J22" s="3594"/>
      <c r="K22" s="3594"/>
      <c r="L22" s="3594"/>
      <c r="M22" s="3594"/>
      <c r="N22" s="3594"/>
      <c r="O22" s="3594"/>
      <c r="P22" s="3594"/>
      <c r="Q22" s="3595"/>
      <c r="R22" s="671">
        <f>ROUND(S22*10000/B22,0)</f>
        <v>10000</v>
      </c>
      <c r="S22" s="24">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10">
        <v>1</v>
      </c>
      <c r="D24" s="3011"/>
      <c r="E24" s="3010">
        <v>1</v>
      </c>
      <c r="F24" s="3011"/>
      <c r="G24" s="3010">
        <v>1</v>
      </c>
      <c r="H24" s="3011"/>
      <c r="I24" s="3010">
        <v>1</v>
      </c>
      <c r="J24" s="3011"/>
      <c r="K24" s="3010">
        <v>1</v>
      </c>
      <c r="L24" s="3011"/>
      <c r="M24" s="3010">
        <v>1</v>
      </c>
      <c r="N24" s="3011"/>
      <c r="O24" s="3010">
        <v>1</v>
      </c>
      <c r="P24" s="3011"/>
      <c r="Q24" s="3010">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7"/>
      <c r="C25" s="24">
        <f>IF(B25="",1,(LOOKUP(B25,$3:$3,$4:$4)-LOOKUP($B$24,$3:$3,$4:$4)+100)/100)</f>
        <v>1</v>
      </c>
      <c r="D25" s="675"/>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IF(B25="",0,ROUND($R$24*C25*E25*G25*I25*K25*M25*O25*Q25,0))</f>
        <v>0</v>
      </c>
      <c r="S25" s="321">
        <f t="shared" si="11"/>
        <v>0</v>
      </c>
    </row>
    <row r="26" spans="1:45">
      <c r="A26" s="154"/>
      <c r="B26" s="57"/>
      <c r="C26" s="24">
        <f t="shared" ref="C26:C89" si="12">IF(B26="",1,(LOOKUP(B26,$3:$3,$4:$4)-LOOKUP($B$24,$3:$3,$4:$4)+100)/100)</f>
        <v>1</v>
      </c>
      <c r="D26" s="675"/>
      <c r="E26" s="24">
        <f t="shared" ref="E26:E89" si="13">(SUMIF($5:$5,D26,$6:$6)-SUMIF($5:$5,$D$24,$6:$6)+100)/100</f>
        <v>1</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si="20">IF(B26="",0,ROUND($R$24*C26*E26*G26*I26*K26*M26*O26*Q26,0))</f>
        <v>0</v>
      </c>
      <c r="S26" s="321">
        <f t="shared" si="11"/>
        <v>0</v>
      </c>
    </row>
    <row r="27" spans="1:45">
      <c r="A27" s="154"/>
      <c r="B27" s="57"/>
      <c r="C27" s="24">
        <f t="shared" si="12"/>
        <v>1</v>
      </c>
      <c r="D27" s="675"/>
      <c r="E27" s="24">
        <f t="shared" si="13"/>
        <v>1</v>
      </c>
      <c r="F27" s="675"/>
      <c r="G27" s="24">
        <f t="shared" si="14"/>
        <v>1</v>
      </c>
      <c r="H27" s="675"/>
      <c r="I27" s="24">
        <f t="shared" si="15"/>
        <v>1</v>
      </c>
      <c r="J27" s="675"/>
      <c r="K27" s="24">
        <f t="shared" si="16"/>
        <v>1</v>
      </c>
      <c r="L27" s="675"/>
      <c r="M27" s="24">
        <f t="shared" si="17"/>
        <v>1</v>
      </c>
      <c r="N27" s="675"/>
      <c r="O27" s="24">
        <f t="shared" si="18"/>
        <v>1</v>
      </c>
      <c r="P27" s="675"/>
      <c r="Q27" s="24">
        <f t="shared" si="19"/>
        <v>1</v>
      </c>
      <c r="R27" s="671">
        <f t="shared" si="20"/>
        <v>0</v>
      </c>
      <c r="S27" s="321">
        <f t="shared" si="11"/>
        <v>0</v>
      </c>
    </row>
    <row r="28" spans="1:45">
      <c r="A28" s="154"/>
      <c r="B28" s="57"/>
      <c r="C28" s="24">
        <f t="shared" si="12"/>
        <v>1</v>
      </c>
      <c r="D28" s="675"/>
      <c r="E28" s="24">
        <f t="shared" si="13"/>
        <v>1</v>
      </c>
      <c r="F28" s="675"/>
      <c r="G28" s="24">
        <f t="shared" si="14"/>
        <v>1</v>
      </c>
      <c r="H28" s="675"/>
      <c r="I28" s="24">
        <f t="shared" si="15"/>
        <v>1</v>
      </c>
      <c r="J28" s="675"/>
      <c r="K28" s="24">
        <f t="shared" si="16"/>
        <v>1</v>
      </c>
      <c r="L28" s="675"/>
      <c r="M28" s="24">
        <f t="shared" si="17"/>
        <v>1</v>
      </c>
      <c r="N28" s="675"/>
      <c r="O28" s="24">
        <f t="shared" si="18"/>
        <v>1</v>
      </c>
      <c r="P28" s="675"/>
      <c r="Q28" s="24">
        <f t="shared" si="19"/>
        <v>1</v>
      </c>
      <c r="R28" s="671">
        <f t="shared" si="20"/>
        <v>0</v>
      </c>
      <c r="S28" s="321">
        <f t="shared" si="11"/>
        <v>0</v>
      </c>
    </row>
    <row r="29" spans="1:45">
      <c r="A29" s="154"/>
      <c r="B29" s="57"/>
      <c r="C29" s="24">
        <f t="shared" si="12"/>
        <v>1</v>
      </c>
      <c r="D29" s="675"/>
      <c r="E29" s="24">
        <f t="shared" si="13"/>
        <v>1</v>
      </c>
      <c r="F29" s="675"/>
      <c r="G29" s="24">
        <f t="shared" si="14"/>
        <v>1</v>
      </c>
      <c r="H29" s="675"/>
      <c r="I29" s="24">
        <f t="shared" si="15"/>
        <v>1</v>
      </c>
      <c r="J29" s="675"/>
      <c r="K29" s="24">
        <f t="shared" si="16"/>
        <v>1</v>
      </c>
      <c r="L29" s="675"/>
      <c r="M29" s="24">
        <f t="shared" si="17"/>
        <v>1</v>
      </c>
      <c r="N29" s="675"/>
      <c r="O29" s="24">
        <f t="shared" si="18"/>
        <v>1</v>
      </c>
      <c r="P29" s="675"/>
      <c r="Q29" s="24">
        <f t="shared" si="19"/>
        <v>1</v>
      </c>
      <c r="R29" s="671">
        <f t="shared" si="20"/>
        <v>0</v>
      </c>
      <c r="S29" s="321">
        <f t="shared" si="11"/>
        <v>0</v>
      </c>
    </row>
    <row r="30" spans="1:45">
      <c r="A30" s="154"/>
      <c r="B30" s="57"/>
      <c r="C30" s="24">
        <f t="shared" si="12"/>
        <v>1</v>
      </c>
      <c r="D30" s="675"/>
      <c r="E30" s="24">
        <f t="shared" si="13"/>
        <v>1</v>
      </c>
      <c r="F30" s="675"/>
      <c r="G30" s="24">
        <f t="shared" si="14"/>
        <v>1</v>
      </c>
      <c r="H30" s="675"/>
      <c r="I30" s="24">
        <f t="shared" si="15"/>
        <v>1</v>
      </c>
      <c r="J30" s="675"/>
      <c r="K30" s="24">
        <f t="shared" si="16"/>
        <v>1</v>
      </c>
      <c r="L30" s="675"/>
      <c r="M30" s="24">
        <f t="shared" si="17"/>
        <v>1</v>
      </c>
      <c r="N30" s="675"/>
      <c r="O30" s="24">
        <f t="shared" si="18"/>
        <v>1</v>
      </c>
      <c r="P30" s="675"/>
      <c r="Q30" s="24">
        <f t="shared" si="19"/>
        <v>1</v>
      </c>
      <c r="R30" s="671">
        <f t="shared" si="20"/>
        <v>0</v>
      </c>
      <c r="S30" s="321">
        <f t="shared" si="11"/>
        <v>0</v>
      </c>
    </row>
    <row r="31" spans="1:45">
      <c r="A31" s="154"/>
      <c r="B31" s="57"/>
      <c r="C31" s="24">
        <f t="shared" si="12"/>
        <v>1</v>
      </c>
      <c r="D31" s="675"/>
      <c r="E31" s="24">
        <f t="shared" si="13"/>
        <v>1</v>
      </c>
      <c r="F31" s="675"/>
      <c r="G31" s="24">
        <f t="shared" si="14"/>
        <v>1</v>
      </c>
      <c r="H31" s="675"/>
      <c r="I31" s="24">
        <f t="shared" si="15"/>
        <v>1</v>
      </c>
      <c r="J31" s="675"/>
      <c r="K31" s="24">
        <f t="shared" si="16"/>
        <v>1</v>
      </c>
      <c r="L31" s="675"/>
      <c r="M31" s="24">
        <f t="shared" si="17"/>
        <v>1</v>
      </c>
      <c r="N31" s="675"/>
      <c r="O31" s="24">
        <f t="shared" si="18"/>
        <v>1</v>
      </c>
      <c r="P31" s="675"/>
      <c r="Q31" s="24">
        <f t="shared" si="19"/>
        <v>1</v>
      </c>
      <c r="R31" s="671">
        <f t="shared" si="20"/>
        <v>0</v>
      </c>
      <c r="S31" s="321">
        <f t="shared" si="11"/>
        <v>0</v>
      </c>
    </row>
    <row r="32" spans="1:45">
      <c r="A32" s="154"/>
      <c r="B32" s="57"/>
      <c r="C32" s="24">
        <f t="shared" si="12"/>
        <v>1</v>
      </c>
      <c r="D32" s="675"/>
      <c r="E32" s="24">
        <f t="shared" si="13"/>
        <v>1</v>
      </c>
      <c r="F32" s="675"/>
      <c r="G32" s="24">
        <f t="shared" si="14"/>
        <v>1</v>
      </c>
      <c r="H32" s="675"/>
      <c r="I32" s="24">
        <f t="shared" si="15"/>
        <v>1</v>
      </c>
      <c r="J32" s="675"/>
      <c r="K32" s="24">
        <f t="shared" si="16"/>
        <v>1</v>
      </c>
      <c r="L32" s="675"/>
      <c r="M32" s="24">
        <f t="shared" si="17"/>
        <v>1</v>
      </c>
      <c r="N32" s="675"/>
      <c r="O32" s="24">
        <f t="shared" si="18"/>
        <v>1</v>
      </c>
      <c r="P32" s="675"/>
      <c r="Q32" s="24">
        <f t="shared" si="19"/>
        <v>1</v>
      </c>
      <c r="R32" s="671">
        <f t="shared" si="20"/>
        <v>0</v>
      </c>
      <c r="S32" s="321">
        <f t="shared" si="11"/>
        <v>0</v>
      </c>
    </row>
    <row r="33" spans="1:19">
      <c r="A33" s="154"/>
      <c r="B33" s="57"/>
      <c r="C33" s="24">
        <f t="shared" si="12"/>
        <v>1</v>
      </c>
      <c r="D33" s="675"/>
      <c r="E33" s="24">
        <f t="shared" si="13"/>
        <v>1</v>
      </c>
      <c r="F33" s="675"/>
      <c r="G33" s="24">
        <f t="shared" si="14"/>
        <v>1</v>
      </c>
      <c r="H33" s="675"/>
      <c r="I33" s="24">
        <f t="shared" si="15"/>
        <v>1</v>
      </c>
      <c r="J33" s="675"/>
      <c r="K33" s="24">
        <f t="shared" si="16"/>
        <v>1</v>
      </c>
      <c r="L33" s="675"/>
      <c r="M33" s="24">
        <f t="shared" si="17"/>
        <v>1</v>
      </c>
      <c r="N33" s="675"/>
      <c r="O33" s="24">
        <f t="shared" si="18"/>
        <v>1</v>
      </c>
      <c r="P33" s="675"/>
      <c r="Q33" s="24">
        <f t="shared" si="19"/>
        <v>1</v>
      </c>
      <c r="R33" s="671">
        <f t="shared" si="20"/>
        <v>0</v>
      </c>
      <c r="S33" s="321">
        <f t="shared" si="11"/>
        <v>0</v>
      </c>
    </row>
    <row r="34" spans="1:19">
      <c r="A34" s="154"/>
      <c r="B34" s="57"/>
      <c r="C34" s="24">
        <f t="shared" si="12"/>
        <v>1</v>
      </c>
      <c r="D34" s="675"/>
      <c r="E34" s="24">
        <f t="shared" si="13"/>
        <v>1</v>
      </c>
      <c r="F34" s="675"/>
      <c r="G34" s="24">
        <f t="shared" si="14"/>
        <v>1</v>
      </c>
      <c r="H34" s="675"/>
      <c r="I34" s="24">
        <f t="shared" si="15"/>
        <v>1</v>
      </c>
      <c r="J34" s="675"/>
      <c r="K34" s="24">
        <f t="shared" si="16"/>
        <v>1</v>
      </c>
      <c r="L34" s="675"/>
      <c r="M34" s="24">
        <f t="shared" si="17"/>
        <v>1</v>
      </c>
      <c r="N34" s="675"/>
      <c r="O34" s="24">
        <f t="shared" si="18"/>
        <v>1</v>
      </c>
      <c r="P34" s="675"/>
      <c r="Q34" s="24">
        <f t="shared" si="19"/>
        <v>1</v>
      </c>
      <c r="R34" s="671">
        <f t="shared" si="20"/>
        <v>0</v>
      </c>
      <c r="S34" s="321">
        <f t="shared" si="11"/>
        <v>0</v>
      </c>
    </row>
    <row r="35" spans="1:19">
      <c r="A35" s="154"/>
      <c r="B35" s="57"/>
      <c r="C35" s="24">
        <f t="shared" si="12"/>
        <v>1</v>
      </c>
      <c r="D35" s="675"/>
      <c r="E35" s="24">
        <f t="shared" si="13"/>
        <v>1</v>
      </c>
      <c r="F35" s="675"/>
      <c r="G35" s="24">
        <f t="shared" si="14"/>
        <v>1</v>
      </c>
      <c r="H35" s="675"/>
      <c r="I35" s="24">
        <f t="shared" si="15"/>
        <v>1</v>
      </c>
      <c r="J35" s="675"/>
      <c r="K35" s="24">
        <f t="shared" si="16"/>
        <v>1</v>
      </c>
      <c r="L35" s="675"/>
      <c r="M35" s="24">
        <f t="shared" si="17"/>
        <v>1</v>
      </c>
      <c r="N35" s="675"/>
      <c r="O35" s="24">
        <f t="shared" si="18"/>
        <v>1</v>
      </c>
      <c r="P35" s="675"/>
      <c r="Q35" s="24">
        <f t="shared" si="19"/>
        <v>1</v>
      </c>
      <c r="R35" s="671">
        <f t="shared" si="20"/>
        <v>0</v>
      </c>
      <c r="S35" s="321">
        <f t="shared" si="11"/>
        <v>0</v>
      </c>
    </row>
    <row r="36" spans="1:19">
      <c r="A36" s="154"/>
      <c r="B36" s="57"/>
      <c r="C36" s="24">
        <f t="shared" si="12"/>
        <v>1</v>
      </c>
      <c r="D36" s="675"/>
      <c r="E36" s="24">
        <f t="shared" si="13"/>
        <v>1</v>
      </c>
      <c r="F36" s="675"/>
      <c r="G36" s="24">
        <f t="shared" si="14"/>
        <v>1</v>
      </c>
      <c r="H36" s="675"/>
      <c r="I36" s="24">
        <f t="shared" si="15"/>
        <v>1</v>
      </c>
      <c r="J36" s="675"/>
      <c r="K36" s="24">
        <f t="shared" si="16"/>
        <v>1</v>
      </c>
      <c r="L36" s="675"/>
      <c r="M36" s="24">
        <f t="shared" si="17"/>
        <v>1</v>
      </c>
      <c r="N36" s="675"/>
      <c r="O36" s="24">
        <f t="shared" si="18"/>
        <v>1</v>
      </c>
      <c r="P36" s="675"/>
      <c r="Q36" s="24">
        <f t="shared" si="19"/>
        <v>1</v>
      </c>
      <c r="R36" s="671">
        <f t="shared" si="20"/>
        <v>0</v>
      </c>
      <c r="S36" s="321">
        <f t="shared" si="11"/>
        <v>0</v>
      </c>
    </row>
    <row r="37" spans="1:19">
      <c r="A37" s="154"/>
      <c r="B37" s="57"/>
      <c r="C37" s="24">
        <f t="shared" si="12"/>
        <v>1</v>
      </c>
      <c r="D37" s="675"/>
      <c r="E37" s="24">
        <f t="shared" si="13"/>
        <v>1</v>
      </c>
      <c r="F37" s="675"/>
      <c r="G37" s="24">
        <f t="shared" si="14"/>
        <v>1</v>
      </c>
      <c r="H37" s="675"/>
      <c r="I37" s="24">
        <f t="shared" si="15"/>
        <v>1</v>
      </c>
      <c r="J37" s="675"/>
      <c r="K37" s="24">
        <f t="shared" si="16"/>
        <v>1</v>
      </c>
      <c r="L37" s="675"/>
      <c r="M37" s="24">
        <f t="shared" si="17"/>
        <v>1</v>
      </c>
      <c r="N37" s="675"/>
      <c r="O37" s="24">
        <f t="shared" si="18"/>
        <v>1</v>
      </c>
      <c r="P37" s="675"/>
      <c r="Q37" s="24">
        <f t="shared" si="19"/>
        <v>1</v>
      </c>
      <c r="R37" s="671">
        <f t="shared" si="20"/>
        <v>0</v>
      </c>
      <c r="S37" s="321">
        <f t="shared" si="11"/>
        <v>0</v>
      </c>
    </row>
    <row r="38" spans="1:19">
      <c r="A38" s="154"/>
      <c r="B38" s="57"/>
      <c r="C38" s="24">
        <f t="shared" si="12"/>
        <v>1</v>
      </c>
      <c r="D38" s="675"/>
      <c r="E38" s="24">
        <f t="shared" si="13"/>
        <v>1</v>
      </c>
      <c r="F38" s="675"/>
      <c r="G38" s="24">
        <f t="shared" si="14"/>
        <v>1</v>
      </c>
      <c r="H38" s="675"/>
      <c r="I38" s="24">
        <f t="shared" si="15"/>
        <v>1</v>
      </c>
      <c r="J38" s="675"/>
      <c r="K38" s="24">
        <f t="shared" si="16"/>
        <v>1</v>
      </c>
      <c r="L38" s="675"/>
      <c r="M38" s="24">
        <f t="shared" si="17"/>
        <v>1</v>
      </c>
      <c r="N38" s="675"/>
      <c r="O38" s="24">
        <f t="shared" si="18"/>
        <v>1</v>
      </c>
      <c r="P38" s="675"/>
      <c r="Q38" s="24">
        <f t="shared" si="19"/>
        <v>1</v>
      </c>
      <c r="R38" s="671">
        <f t="shared" si="20"/>
        <v>0</v>
      </c>
      <c r="S38" s="321">
        <f t="shared" si="11"/>
        <v>0</v>
      </c>
    </row>
    <row r="39" spans="1:19">
      <c r="A39" s="154"/>
      <c r="B39" s="57"/>
      <c r="C39" s="24">
        <f t="shared" si="12"/>
        <v>1</v>
      </c>
      <c r="D39" s="675"/>
      <c r="E39" s="24">
        <f t="shared" si="13"/>
        <v>1</v>
      </c>
      <c r="F39" s="675"/>
      <c r="G39" s="24">
        <f t="shared" si="14"/>
        <v>1</v>
      </c>
      <c r="H39" s="675"/>
      <c r="I39" s="24">
        <f t="shared" si="15"/>
        <v>1</v>
      </c>
      <c r="J39" s="675"/>
      <c r="K39" s="24">
        <f t="shared" si="16"/>
        <v>1</v>
      </c>
      <c r="L39" s="675"/>
      <c r="M39" s="24">
        <f t="shared" si="17"/>
        <v>1</v>
      </c>
      <c r="N39" s="675"/>
      <c r="O39" s="24">
        <f t="shared" si="18"/>
        <v>1</v>
      </c>
      <c r="P39" s="675"/>
      <c r="Q39" s="24">
        <f t="shared" si="19"/>
        <v>1</v>
      </c>
      <c r="R39" s="671">
        <f t="shared" si="20"/>
        <v>0</v>
      </c>
      <c r="S39" s="321">
        <f t="shared" si="11"/>
        <v>0</v>
      </c>
    </row>
    <row r="40" spans="1:19">
      <c r="A40" s="154"/>
      <c r="B40" s="57"/>
      <c r="C40" s="24">
        <f t="shared" si="12"/>
        <v>1</v>
      </c>
      <c r="D40" s="675"/>
      <c r="E40" s="24">
        <f t="shared" si="13"/>
        <v>1</v>
      </c>
      <c r="F40" s="675"/>
      <c r="G40" s="24">
        <f t="shared" si="14"/>
        <v>1</v>
      </c>
      <c r="H40" s="675"/>
      <c r="I40" s="24">
        <f t="shared" si="15"/>
        <v>1</v>
      </c>
      <c r="J40" s="675"/>
      <c r="K40" s="24">
        <f t="shared" si="16"/>
        <v>1</v>
      </c>
      <c r="L40" s="675"/>
      <c r="M40" s="24">
        <f t="shared" si="17"/>
        <v>1</v>
      </c>
      <c r="N40" s="675"/>
      <c r="O40" s="24">
        <f t="shared" si="18"/>
        <v>1</v>
      </c>
      <c r="P40" s="675"/>
      <c r="Q40" s="24">
        <f t="shared" si="19"/>
        <v>1</v>
      </c>
      <c r="R40" s="671">
        <f t="shared" si="20"/>
        <v>0</v>
      </c>
      <c r="S40" s="321">
        <f t="shared" si="11"/>
        <v>0</v>
      </c>
    </row>
    <row r="41" spans="1:19">
      <c r="A41" s="154"/>
      <c r="B41" s="57"/>
      <c r="C41" s="24">
        <f t="shared" si="12"/>
        <v>1</v>
      </c>
      <c r="D41" s="675"/>
      <c r="E41" s="24">
        <f t="shared" si="13"/>
        <v>1</v>
      </c>
      <c r="F41" s="675"/>
      <c r="G41" s="24">
        <f t="shared" si="14"/>
        <v>1</v>
      </c>
      <c r="H41" s="675"/>
      <c r="I41" s="24">
        <f t="shared" si="15"/>
        <v>1</v>
      </c>
      <c r="J41" s="675"/>
      <c r="K41" s="24">
        <f t="shared" si="16"/>
        <v>1</v>
      </c>
      <c r="L41" s="675"/>
      <c r="M41" s="24">
        <f t="shared" si="17"/>
        <v>1</v>
      </c>
      <c r="N41" s="675"/>
      <c r="O41" s="24">
        <f t="shared" si="18"/>
        <v>1</v>
      </c>
      <c r="P41" s="675"/>
      <c r="Q41" s="24">
        <f t="shared" si="19"/>
        <v>1</v>
      </c>
      <c r="R41" s="671">
        <f t="shared" si="20"/>
        <v>0</v>
      </c>
      <c r="S41" s="321">
        <f t="shared" si="11"/>
        <v>0</v>
      </c>
    </row>
    <row r="42" spans="1:19">
      <c r="A42" s="154"/>
      <c r="B42" s="57"/>
      <c r="C42" s="24">
        <f t="shared" si="12"/>
        <v>1</v>
      </c>
      <c r="D42" s="675"/>
      <c r="E42" s="24">
        <f t="shared" si="13"/>
        <v>1</v>
      </c>
      <c r="F42" s="675"/>
      <c r="G42" s="24">
        <f t="shared" si="14"/>
        <v>1</v>
      </c>
      <c r="H42" s="675"/>
      <c r="I42" s="24">
        <f t="shared" si="15"/>
        <v>1</v>
      </c>
      <c r="J42" s="675"/>
      <c r="K42" s="24">
        <f t="shared" si="16"/>
        <v>1</v>
      </c>
      <c r="L42" s="675"/>
      <c r="M42" s="24">
        <f t="shared" si="17"/>
        <v>1</v>
      </c>
      <c r="N42" s="675"/>
      <c r="O42" s="24">
        <f t="shared" si="18"/>
        <v>1</v>
      </c>
      <c r="P42" s="675"/>
      <c r="Q42" s="24">
        <f t="shared" si="19"/>
        <v>1</v>
      </c>
      <c r="R42" s="671">
        <f t="shared" si="20"/>
        <v>0</v>
      </c>
      <c r="S42" s="321">
        <f t="shared" si="11"/>
        <v>0</v>
      </c>
    </row>
    <row r="43" spans="1:19">
      <c r="A43" s="154"/>
      <c r="B43" s="57"/>
      <c r="C43" s="24">
        <f t="shared" si="12"/>
        <v>1</v>
      </c>
      <c r="D43" s="675"/>
      <c r="E43" s="24">
        <f t="shared" si="13"/>
        <v>1</v>
      </c>
      <c r="F43" s="675"/>
      <c r="G43" s="24">
        <f t="shared" si="14"/>
        <v>1</v>
      </c>
      <c r="H43" s="675"/>
      <c r="I43" s="24">
        <f t="shared" si="15"/>
        <v>1</v>
      </c>
      <c r="J43" s="675"/>
      <c r="K43" s="24">
        <f t="shared" si="16"/>
        <v>1</v>
      </c>
      <c r="L43" s="675"/>
      <c r="M43" s="24">
        <f t="shared" si="17"/>
        <v>1</v>
      </c>
      <c r="N43" s="675"/>
      <c r="O43" s="24">
        <f t="shared" si="18"/>
        <v>1</v>
      </c>
      <c r="P43" s="675"/>
      <c r="Q43" s="24">
        <f t="shared" si="19"/>
        <v>1</v>
      </c>
      <c r="R43" s="671">
        <f t="shared" si="20"/>
        <v>0</v>
      </c>
      <c r="S43" s="321">
        <f t="shared" si="11"/>
        <v>0</v>
      </c>
    </row>
    <row r="44" spans="1:19">
      <c r="A44" s="154"/>
      <c r="B44" s="57"/>
      <c r="C44" s="24">
        <f t="shared" si="12"/>
        <v>1</v>
      </c>
      <c r="D44" s="675"/>
      <c r="E44" s="24">
        <f t="shared" si="13"/>
        <v>1</v>
      </c>
      <c r="F44" s="675"/>
      <c r="G44" s="24">
        <f t="shared" si="14"/>
        <v>1</v>
      </c>
      <c r="H44" s="675"/>
      <c r="I44" s="24">
        <f t="shared" si="15"/>
        <v>1</v>
      </c>
      <c r="J44" s="675"/>
      <c r="K44" s="24">
        <f t="shared" si="16"/>
        <v>1</v>
      </c>
      <c r="L44" s="675"/>
      <c r="M44" s="24">
        <f t="shared" si="17"/>
        <v>1</v>
      </c>
      <c r="N44" s="675"/>
      <c r="O44" s="24">
        <f t="shared" si="18"/>
        <v>1</v>
      </c>
      <c r="P44" s="675"/>
      <c r="Q44" s="24">
        <f t="shared" si="19"/>
        <v>1</v>
      </c>
      <c r="R44" s="671">
        <f t="shared" si="20"/>
        <v>0</v>
      </c>
      <c r="S44" s="321">
        <f t="shared" si="11"/>
        <v>0</v>
      </c>
    </row>
    <row r="45" spans="1:19">
      <c r="A45" s="154"/>
      <c r="B45" s="57"/>
      <c r="C45" s="24">
        <f t="shared" si="12"/>
        <v>1</v>
      </c>
      <c r="D45" s="675"/>
      <c r="E45" s="24">
        <f t="shared" si="13"/>
        <v>1</v>
      </c>
      <c r="F45" s="675"/>
      <c r="G45" s="24">
        <f t="shared" si="14"/>
        <v>1</v>
      </c>
      <c r="H45" s="675"/>
      <c r="I45" s="24">
        <f t="shared" si="15"/>
        <v>1</v>
      </c>
      <c r="J45" s="675"/>
      <c r="K45" s="24">
        <f t="shared" si="16"/>
        <v>1</v>
      </c>
      <c r="L45" s="675"/>
      <c r="M45" s="24">
        <f t="shared" si="17"/>
        <v>1</v>
      </c>
      <c r="N45" s="675"/>
      <c r="O45" s="24">
        <f t="shared" si="18"/>
        <v>1</v>
      </c>
      <c r="P45" s="675"/>
      <c r="Q45" s="24">
        <f t="shared" si="19"/>
        <v>1</v>
      </c>
      <c r="R45" s="671">
        <f t="shared" si="20"/>
        <v>0</v>
      </c>
      <c r="S45" s="321">
        <f t="shared" si="11"/>
        <v>0</v>
      </c>
    </row>
    <row r="46" spans="1:19">
      <c r="A46" s="154"/>
      <c r="B46" s="57"/>
      <c r="C46" s="24">
        <f t="shared" si="12"/>
        <v>1</v>
      </c>
      <c r="D46" s="675"/>
      <c r="E46" s="24">
        <f t="shared" si="13"/>
        <v>1</v>
      </c>
      <c r="F46" s="675"/>
      <c r="G46" s="24">
        <f t="shared" si="14"/>
        <v>1</v>
      </c>
      <c r="H46" s="675"/>
      <c r="I46" s="24">
        <f t="shared" si="15"/>
        <v>1</v>
      </c>
      <c r="J46" s="675"/>
      <c r="K46" s="24">
        <f t="shared" si="16"/>
        <v>1</v>
      </c>
      <c r="L46" s="675"/>
      <c r="M46" s="24">
        <f t="shared" si="17"/>
        <v>1</v>
      </c>
      <c r="N46" s="675"/>
      <c r="O46" s="24">
        <f t="shared" si="18"/>
        <v>1</v>
      </c>
      <c r="P46" s="675"/>
      <c r="Q46" s="24">
        <f t="shared" si="19"/>
        <v>1</v>
      </c>
      <c r="R46" s="671">
        <f t="shared" si="20"/>
        <v>0</v>
      </c>
      <c r="S46" s="321">
        <f t="shared" si="11"/>
        <v>0</v>
      </c>
    </row>
    <row r="47" spans="1:19">
      <c r="A47" s="154"/>
      <c r="B47" s="57"/>
      <c r="C47" s="24">
        <f t="shared" si="12"/>
        <v>1</v>
      </c>
      <c r="D47" s="675"/>
      <c r="E47" s="24">
        <f t="shared" si="13"/>
        <v>1</v>
      </c>
      <c r="F47" s="675"/>
      <c r="G47" s="24">
        <f t="shared" si="14"/>
        <v>1</v>
      </c>
      <c r="H47" s="675"/>
      <c r="I47" s="24">
        <f t="shared" si="15"/>
        <v>1</v>
      </c>
      <c r="J47" s="675"/>
      <c r="K47" s="24">
        <f t="shared" si="16"/>
        <v>1</v>
      </c>
      <c r="L47" s="675"/>
      <c r="M47" s="24">
        <f t="shared" si="17"/>
        <v>1</v>
      </c>
      <c r="N47" s="675"/>
      <c r="O47" s="24">
        <f t="shared" si="18"/>
        <v>1</v>
      </c>
      <c r="P47" s="675"/>
      <c r="Q47" s="24">
        <f t="shared" si="19"/>
        <v>1</v>
      </c>
      <c r="R47" s="671">
        <f t="shared" si="20"/>
        <v>0</v>
      </c>
      <c r="S47" s="321">
        <f t="shared" si="11"/>
        <v>0</v>
      </c>
    </row>
    <row r="48" spans="1:19">
      <c r="A48" s="154"/>
      <c r="B48" s="57"/>
      <c r="C48" s="24">
        <f t="shared" si="12"/>
        <v>1</v>
      </c>
      <c r="D48" s="675"/>
      <c r="E48" s="24">
        <f t="shared" si="13"/>
        <v>1</v>
      </c>
      <c r="F48" s="675"/>
      <c r="G48" s="24">
        <f t="shared" si="14"/>
        <v>1</v>
      </c>
      <c r="H48" s="675"/>
      <c r="I48" s="24">
        <f t="shared" si="15"/>
        <v>1</v>
      </c>
      <c r="J48" s="675"/>
      <c r="K48" s="24">
        <f t="shared" si="16"/>
        <v>1</v>
      </c>
      <c r="L48" s="675"/>
      <c r="M48" s="24">
        <f t="shared" si="17"/>
        <v>1</v>
      </c>
      <c r="N48" s="675"/>
      <c r="O48" s="24">
        <f t="shared" si="18"/>
        <v>1</v>
      </c>
      <c r="P48" s="675"/>
      <c r="Q48" s="24">
        <f t="shared" si="19"/>
        <v>1</v>
      </c>
      <c r="R48" s="671">
        <f t="shared" si="20"/>
        <v>0</v>
      </c>
      <c r="S48" s="321">
        <f t="shared" si="11"/>
        <v>0</v>
      </c>
    </row>
    <row r="49" spans="1:19">
      <c r="A49" s="154"/>
      <c r="B49" s="57"/>
      <c r="C49" s="24">
        <f t="shared" si="12"/>
        <v>1</v>
      </c>
      <c r="D49" s="675"/>
      <c r="E49" s="24">
        <f t="shared" si="13"/>
        <v>1</v>
      </c>
      <c r="F49" s="675"/>
      <c r="G49" s="24">
        <f t="shared" si="14"/>
        <v>1</v>
      </c>
      <c r="H49" s="675"/>
      <c r="I49" s="24">
        <f t="shared" si="15"/>
        <v>1</v>
      </c>
      <c r="J49" s="675"/>
      <c r="K49" s="24">
        <f t="shared" si="16"/>
        <v>1</v>
      </c>
      <c r="L49" s="675"/>
      <c r="M49" s="24">
        <f t="shared" si="17"/>
        <v>1</v>
      </c>
      <c r="N49" s="675"/>
      <c r="O49" s="24">
        <f t="shared" si="18"/>
        <v>1</v>
      </c>
      <c r="P49" s="675"/>
      <c r="Q49" s="24">
        <f t="shared" si="19"/>
        <v>1</v>
      </c>
      <c r="R49" s="671">
        <f t="shared" si="20"/>
        <v>0</v>
      </c>
      <c r="S49" s="321">
        <f t="shared" si="11"/>
        <v>0</v>
      </c>
    </row>
    <row r="50" spans="1:19">
      <c r="A50" s="154"/>
      <c r="B50" s="57"/>
      <c r="C50" s="24">
        <f t="shared" si="12"/>
        <v>1</v>
      </c>
      <c r="D50" s="675"/>
      <c r="E50" s="24">
        <f t="shared" si="13"/>
        <v>1</v>
      </c>
      <c r="F50" s="675"/>
      <c r="G50" s="24">
        <f t="shared" si="14"/>
        <v>1</v>
      </c>
      <c r="H50" s="675"/>
      <c r="I50" s="24">
        <f t="shared" si="15"/>
        <v>1</v>
      </c>
      <c r="J50" s="675"/>
      <c r="K50" s="24">
        <f t="shared" si="16"/>
        <v>1</v>
      </c>
      <c r="L50" s="675"/>
      <c r="M50" s="24">
        <f t="shared" si="17"/>
        <v>1</v>
      </c>
      <c r="N50" s="675"/>
      <c r="O50" s="24">
        <f t="shared" si="18"/>
        <v>1</v>
      </c>
      <c r="P50" s="675"/>
      <c r="Q50" s="24">
        <f t="shared" si="19"/>
        <v>1</v>
      </c>
      <c r="R50" s="671">
        <f t="shared" si="20"/>
        <v>0</v>
      </c>
      <c r="S50" s="321">
        <f t="shared" si="11"/>
        <v>0</v>
      </c>
    </row>
    <row r="51" spans="1:19">
      <c r="A51" s="154"/>
      <c r="B51" s="57"/>
      <c r="C51" s="24">
        <f t="shared" si="12"/>
        <v>1</v>
      </c>
      <c r="D51" s="675"/>
      <c r="E51" s="24">
        <f t="shared" si="13"/>
        <v>1</v>
      </c>
      <c r="F51" s="675"/>
      <c r="G51" s="24">
        <f t="shared" si="14"/>
        <v>1</v>
      </c>
      <c r="H51" s="675"/>
      <c r="I51" s="24">
        <f t="shared" si="15"/>
        <v>1</v>
      </c>
      <c r="J51" s="675"/>
      <c r="K51" s="24">
        <f t="shared" si="16"/>
        <v>1</v>
      </c>
      <c r="L51" s="675"/>
      <c r="M51" s="24">
        <f t="shared" si="17"/>
        <v>1</v>
      </c>
      <c r="N51" s="675"/>
      <c r="O51" s="24">
        <f t="shared" si="18"/>
        <v>1</v>
      </c>
      <c r="P51" s="675"/>
      <c r="Q51" s="24">
        <f t="shared" si="19"/>
        <v>1</v>
      </c>
      <c r="R51" s="671">
        <f t="shared" si="20"/>
        <v>0</v>
      </c>
      <c r="S51" s="321">
        <f t="shared" si="11"/>
        <v>0</v>
      </c>
    </row>
    <row r="52" spans="1:19">
      <c r="A52" s="154"/>
      <c r="B52" s="57"/>
      <c r="C52" s="24">
        <f t="shared" si="12"/>
        <v>1</v>
      </c>
      <c r="D52" s="675"/>
      <c r="E52" s="24">
        <f t="shared" si="13"/>
        <v>1</v>
      </c>
      <c r="F52" s="675"/>
      <c r="G52" s="24">
        <f t="shared" si="14"/>
        <v>1</v>
      </c>
      <c r="H52" s="675"/>
      <c r="I52" s="24">
        <f t="shared" si="15"/>
        <v>1</v>
      </c>
      <c r="J52" s="675"/>
      <c r="K52" s="24">
        <f t="shared" si="16"/>
        <v>1</v>
      </c>
      <c r="L52" s="675"/>
      <c r="M52" s="24">
        <f t="shared" si="17"/>
        <v>1</v>
      </c>
      <c r="N52" s="675"/>
      <c r="O52" s="24">
        <f t="shared" si="18"/>
        <v>1</v>
      </c>
      <c r="P52" s="675"/>
      <c r="Q52" s="24">
        <f t="shared" si="19"/>
        <v>1</v>
      </c>
      <c r="R52" s="671">
        <f t="shared" si="20"/>
        <v>0</v>
      </c>
      <c r="S52" s="321">
        <f t="shared" si="11"/>
        <v>0</v>
      </c>
    </row>
    <row r="53" spans="1:19">
      <c r="A53" s="154"/>
      <c r="B53" s="57"/>
      <c r="C53" s="24">
        <f t="shared" si="12"/>
        <v>1</v>
      </c>
      <c r="D53" s="675"/>
      <c r="E53" s="24">
        <f t="shared" si="13"/>
        <v>1</v>
      </c>
      <c r="F53" s="675"/>
      <c r="G53" s="24">
        <f t="shared" si="14"/>
        <v>1</v>
      </c>
      <c r="H53" s="675"/>
      <c r="I53" s="24">
        <f t="shared" si="15"/>
        <v>1</v>
      </c>
      <c r="J53" s="675"/>
      <c r="K53" s="24">
        <f t="shared" si="16"/>
        <v>1</v>
      </c>
      <c r="L53" s="675"/>
      <c r="M53" s="24">
        <f t="shared" si="17"/>
        <v>1</v>
      </c>
      <c r="N53" s="675"/>
      <c r="O53" s="24">
        <f t="shared" si="18"/>
        <v>1</v>
      </c>
      <c r="P53" s="675"/>
      <c r="Q53" s="24">
        <f t="shared" si="19"/>
        <v>1</v>
      </c>
      <c r="R53" s="671">
        <f t="shared" si="20"/>
        <v>0</v>
      </c>
      <c r="S53" s="321">
        <f t="shared" si="11"/>
        <v>0</v>
      </c>
    </row>
    <row r="54" spans="1:19">
      <c r="A54" s="154"/>
      <c r="B54" s="57"/>
      <c r="C54" s="24">
        <f t="shared" si="12"/>
        <v>1</v>
      </c>
      <c r="D54" s="675"/>
      <c r="E54" s="24">
        <f t="shared" si="13"/>
        <v>1</v>
      </c>
      <c r="F54" s="675"/>
      <c r="G54" s="24">
        <f t="shared" si="14"/>
        <v>1</v>
      </c>
      <c r="H54" s="675"/>
      <c r="I54" s="24">
        <f t="shared" si="15"/>
        <v>1</v>
      </c>
      <c r="J54" s="675"/>
      <c r="K54" s="24">
        <f t="shared" si="16"/>
        <v>1</v>
      </c>
      <c r="L54" s="675"/>
      <c r="M54" s="24">
        <f t="shared" si="17"/>
        <v>1</v>
      </c>
      <c r="N54" s="675"/>
      <c r="O54" s="24">
        <f t="shared" si="18"/>
        <v>1</v>
      </c>
      <c r="P54" s="675"/>
      <c r="Q54" s="24">
        <f t="shared" si="19"/>
        <v>1</v>
      </c>
      <c r="R54" s="671">
        <f t="shared" si="20"/>
        <v>0</v>
      </c>
      <c r="S54" s="321">
        <f t="shared" si="11"/>
        <v>0</v>
      </c>
    </row>
    <row r="55" spans="1:19">
      <c r="A55" s="154"/>
      <c r="B55" s="57"/>
      <c r="C55" s="24">
        <f t="shared" si="12"/>
        <v>1</v>
      </c>
      <c r="D55" s="675"/>
      <c r="E55" s="24">
        <f t="shared" si="13"/>
        <v>1</v>
      </c>
      <c r="F55" s="675"/>
      <c r="G55" s="24">
        <f t="shared" si="14"/>
        <v>1</v>
      </c>
      <c r="H55" s="675"/>
      <c r="I55" s="24">
        <f t="shared" si="15"/>
        <v>1</v>
      </c>
      <c r="J55" s="675"/>
      <c r="K55" s="24">
        <f t="shared" si="16"/>
        <v>1</v>
      </c>
      <c r="L55" s="675"/>
      <c r="M55" s="24">
        <f t="shared" si="17"/>
        <v>1</v>
      </c>
      <c r="N55" s="675"/>
      <c r="O55" s="24">
        <f t="shared" si="18"/>
        <v>1</v>
      </c>
      <c r="P55" s="675"/>
      <c r="Q55" s="24">
        <f t="shared" si="19"/>
        <v>1</v>
      </c>
      <c r="R55" s="671">
        <f t="shared" si="20"/>
        <v>0</v>
      </c>
      <c r="S55" s="321">
        <f t="shared" ref="S55:S77" si="21">ROUND(R55*B55/10000,0)</f>
        <v>0</v>
      </c>
    </row>
    <row r="56" spans="1:19">
      <c r="A56" s="154"/>
      <c r="B56" s="57"/>
      <c r="C56" s="24">
        <f t="shared" si="12"/>
        <v>1</v>
      </c>
      <c r="D56" s="675"/>
      <c r="E56" s="24">
        <f t="shared" si="13"/>
        <v>1</v>
      </c>
      <c r="F56" s="675"/>
      <c r="G56" s="24">
        <f t="shared" si="14"/>
        <v>1</v>
      </c>
      <c r="H56" s="675"/>
      <c r="I56" s="24">
        <f t="shared" si="15"/>
        <v>1</v>
      </c>
      <c r="J56" s="675"/>
      <c r="K56" s="24">
        <f t="shared" si="16"/>
        <v>1</v>
      </c>
      <c r="L56" s="675"/>
      <c r="M56" s="24">
        <f t="shared" si="17"/>
        <v>1</v>
      </c>
      <c r="N56" s="675"/>
      <c r="O56" s="24">
        <f t="shared" si="18"/>
        <v>1</v>
      </c>
      <c r="P56" s="675"/>
      <c r="Q56" s="24">
        <f t="shared" si="19"/>
        <v>1</v>
      </c>
      <c r="R56" s="671">
        <f t="shared" si="20"/>
        <v>0</v>
      </c>
      <c r="S56" s="321">
        <f t="shared" si="21"/>
        <v>0</v>
      </c>
    </row>
    <row r="57" spans="1:19">
      <c r="A57" s="154"/>
      <c r="B57" s="57"/>
      <c r="C57" s="24">
        <f t="shared" si="12"/>
        <v>1</v>
      </c>
      <c r="D57" s="675"/>
      <c r="E57" s="24">
        <f t="shared" si="13"/>
        <v>1</v>
      </c>
      <c r="F57" s="675"/>
      <c r="G57" s="24">
        <f t="shared" si="14"/>
        <v>1</v>
      </c>
      <c r="H57" s="675"/>
      <c r="I57" s="24">
        <f t="shared" si="15"/>
        <v>1</v>
      </c>
      <c r="J57" s="675"/>
      <c r="K57" s="24">
        <f t="shared" si="16"/>
        <v>1</v>
      </c>
      <c r="L57" s="675"/>
      <c r="M57" s="24">
        <f t="shared" si="17"/>
        <v>1</v>
      </c>
      <c r="N57" s="675"/>
      <c r="O57" s="24">
        <f t="shared" si="18"/>
        <v>1</v>
      </c>
      <c r="P57" s="675"/>
      <c r="Q57" s="24">
        <f t="shared" si="19"/>
        <v>1</v>
      </c>
      <c r="R57" s="671">
        <f t="shared" si="20"/>
        <v>0</v>
      </c>
      <c r="S57" s="321">
        <f t="shared" si="21"/>
        <v>0</v>
      </c>
    </row>
    <row r="58" spans="1:19">
      <c r="A58" s="154"/>
      <c r="B58" s="57"/>
      <c r="C58" s="24">
        <f t="shared" si="12"/>
        <v>1</v>
      </c>
      <c r="D58" s="675"/>
      <c r="E58" s="24">
        <f t="shared" si="13"/>
        <v>1</v>
      </c>
      <c r="F58" s="675"/>
      <c r="G58" s="24">
        <f t="shared" si="14"/>
        <v>1</v>
      </c>
      <c r="H58" s="675"/>
      <c r="I58" s="24">
        <f t="shared" si="15"/>
        <v>1</v>
      </c>
      <c r="J58" s="675"/>
      <c r="K58" s="24">
        <f t="shared" si="16"/>
        <v>1</v>
      </c>
      <c r="L58" s="675"/>
      <c r="M58" s="24">
        <f t="shared" si="17"/>
        <v>1</v>
      </c>
      <c r="N58" s="675"/>
      <c r="O58" s="24">
        <f t="shared" si="18"/>
        <v>1</v>
      </c>
      <c r="P58" s="675"/>
      <c r="Q58" s="24">
        <f t="shared" si="19"/>
        <v>1</v>
      </c>
      <c r="R58" s="671">
        <f t="shared" si="20"/>
        <v>0</v>
      </c>
      <c r="S58" s="321">
        <f t="shared" si="21"/>
        <v>0</v>
      </c>
    </row>
    <row r="59" spans="1:19">
      <c r="A59" s="154"/>
      <c r="B59" s="57"/>
      <c r="C59" s="24">
        <f t="shared" si="12"/>
        <v>1</v>
      </c>
      <c r="D59" s="675"/>
      <c r="E59" s="24">
        <f t="shared" si="13"/>
        <v>1</v>
      </c>
      <c r="F59" s="675"/>
      <c r="G59" s="24">
        <f t="shared" si="14"/>
        <v>1</v>
      </c>
      <c r="H59" s="675"/>
      <c r="I59" s="24">
        <f t="shared" si="15"/>
        <v>1</v>
      </c>
      <c r="J59" s="675"/>
      <c r="K59" s="24">
        <f t="shared" si="16"/>
        <v>1</v>
      </c>
      <c r="L59" s="675"/>
      <c r="M59" s="24">
        <f t="shared" si="17"/>
        <v>1</v>
      </c>
      <c r="N59" s="675"/>
      <c r="O59" s="24">
        <f t="shared" si="18"/>
        <v>1</v>
      </c>
      <c r="P59" s="675"/>
      <c r="Q59" s="24">
        <f t="shared" si="19"/>
        <v>1</v>
      </c>
      <c r="R59" s="671">
        <f t="shared" si="20"/>
        <v>0</v>
      </c>
      <c r="S59" s="321">
        <f t="shared" si="21"/>
        <v>0</v>
      </c>
    </row>
    <row r="60" spans="1:19">
      <c r="A60" s="154"/>
      <c r="B60" s="57"/>
      <c r="C60" s="24">
        <f t="shared" si="12"/>
        <v>1</v>
      </c>
      <c r="D60" s="675"/>
      <c r="E60" s="24">
        <f t="shared" si="13"/>
        <v>1</v>
      </c>
      <c r="F60" s="675"/>
      <c r="G60" s="24">
        <f t="shared" si="14"/>
        <v>1</v>
      </c>
      <c r="H60" s="675"/>
      <c r="I60" s="24">
        <f t="shared" si="15"/>
        <v>1</v>
      </c>
      <c r="J60" s="675"/>
      <c r="K60" s="24">
        <f t="shared" si="16"/>
        <v>1</v>
      </c>
      <c r="L60" s="675"/>
      <c r="M60" s="24">
        <f t="shared" si="17"/>
        <v>1</v>
      </c>
      <c r="N60" s="675"/>
      <c r="O60" s="24">
        <f t="shared" si="18"/>
        <v>1</v>
      </c>
      <c r="P60" s="675"/>
      <c r="Q60" s="24">
        <f t="shared" si="19"/>
        <v>1</v>
      </c>
      <c r="R60" s="671">
        <f t="shared" si="20"/>
        <v>0</v>
      </c>
      <c r="S60" s="321">
        <f t="shared" si="21"/>
        <v>0</v>
      </c>
    </row>
    <row r="61" spans="1:19">
      <c r="A61" s="154"/>
      <c r="B61" s="57"/>
      <c r="C61" s="24">
        <f t="shared" si="12"/>
        <v>1</v>
      </c>
      <c r="D61" s="675"/>
      <c r="E61" s="24">
        <f t="shared" si="13"/>
        <v>1</v>
      </c>
      <c r="F61" s="675"/>
      <c r="G61" s="24">
        <f t="shared" si="14"/>
        <v>1</v>
      </c>
      <c r="H61" s="675"/>
      <c r="I61" s="24">
        <f t="shared" si="15"/>
        <v>1</v>
      </c>
      <c r="J61" s="675"/>
      <c r="K61" s="24">
        <f t="shared" si="16"/>
        <v>1</v>
      </c>
      <c r="L61" s="675"/>
      <c r="M61" s="24">
        <f t="shared" si="17"/>
        <v>1</v>
      </c>
      <c r="N61" s="675"/>
      <c r="O61" s="24">
        <f t="shared" si="18"/>
        <v>1</v>
      </c>
      <c r="P61" s="675"/>
      <c r="Q61" s="24">
        <f t="shared" si="19"/>
        <v>1</v>
      </c>
      <c r="R61" s="671">
        <f t="shared" si="20"/>
        <v>0</v>
      </c>
      <c r="S61" s="321">
        <f t="shared" si="21"/>
        <v>0</v>
      </c>
    </row>
    <row r="62" spans="1:19">
      <c r="A62" s="154"/>
      <c r="B62" s="57"/>
      <c r="C62" s="24">
        <f t="shared" si="12"/>
        <v>1</v>
      </c>
      <c r="D62" s="675"/>
      <c r="E62" s="24">
        <f t="shared" si="13"/>
        <v>1</v>
      </c>
      <c r="F62" s="675"/>
      <c r="G62" s="24">
        <f t="shared" si="14"/>
        <v>1</v>
      </c>
      <c r="H62" s="675"/>
      <c r="I62" s="24">
        <f t="shared" si="15"/>
        <v>1</v>
      </c>
      <c r="J62" s="675"/>
      <c r="K62" s="24">
        <f t="shared" si="16"/>
        <v>1</v>
      </c>
      <c r="L62" s="675"/>
      <c r="M62" s="24">
        <f t="shared" si="17"/>
        <v>1</v>
      </c>
      <c r="N62" s="675"/>
      <c r="O62" s="24">
        <f t="shared" si="18"/>
        <v>1</v>
      </c>
      <c r="P62" s="675"/>
      <c r="Q62" s="24">
        <f t="shared" si="19"/>
        <v>1</v>
      </c>
      <c r="R62" s="671">
        <f t="shared" si="20"/>
        <v>0</v>
      </c>
      <c r="S62" s="321">
        <f t="shared" si="21"/>
        <v>0</v>
      </c>
    </row>
    <row r="63" spans="1:19">
      <c r="A63" s="154"/>
      <c r="B63" s="57"/>
      <c r="C63" s="24">
        <f t="shared" si="12"/>
        <v>1</v>
      </c>
      <c r="D63" s="675"/>
      <c r="E63" s="24">
        <f t="shared" si="13"/>
        <v>1</v>
      </c>
      <c r="F63" s="675"/>
      <c r="G63" s="24">
        <f t="shared" si="14"/>
        <v>1</v>
      </c>
      <c r="H63" s="675"/>
      <c r="I63" s="24">
        <f t="shared" si="15"/>
        <v>1</v>
      </c>
      <c r="J63" s="675"/>
      <c r="K63" s="24">
        <f t="shared" si="16"/>
        <v>1</v>
      </c>
      <c r="L63" s="675"/>
      <c r="M63" s="24">
        <f t="shared" si="17"/>
        <v>1</v>
      </c>
      <c r="N63" s="675"/>
      <c r="O63" s="24">
        <f t="shared" si="18"/>
        <v>1</v>
      </c>
      <c r="P63" s="675"/>
      <c r="Q63" s="24">
        <f t="shared" si="19"/>
        <v>1</v>
      </c>
      <c r="R63" s="671">
        <f t="shared" si="20"/>
        <v>0</v>
      </c>
      <c r="S63" s="321">
        <f t="shared" si="21"/>
        <v>0</v>
      </c>
    </row>
    <row r="64" spans="1:19">
      <c r="A64" s="154"/>
      <c r="B64" s="57"/>
      <c r="C64" s="24">
        <f t="shared" si="12"/>
        <v>1</v>
      </c>
      <c r="D64" s="675"/>
      <c r="E64" s="24">
        <f t="shared" si="13"/>
        <v>1</v>
      </c>
      <c r="F64" s="675"/>
      <c r="G64" s="24">
        <f t="shared" si="14"/>
        <v>1</v>
      </c>
      <c r="H64" s="675"/>
      <c r="I64" s="24">
        <f t="shared" si="15"/>
        <v>1</v>
      </c>
      <c r="J64" s="675"/>
      <c r="K64" s="24">
        <f t="shared" si="16"/>
        <v>1</v>
      </c>
      <c r="L64" s="675"/>
      <c r="M64" s="24">
        <f t="shared" si="17"/>
        <v>1</v>
      </c>
      <c r="N64" s="675"/>
      <c r="O64" s="24">
        <f t="shared" si="18"/>
        <v>1</v>
      </c>
      <c r="P64" s="675"/>
      <c r="Q64" s="24">
        <f t="shared" si="19"/>
        <v>1</v>
      </c>
      <c r="R64" s="671">
        <f t="shared" si="20"/>
        <v>0</v>
      </c>
      <c r="S64" s="321">
        <f t="shared" si="21"/>
        <v>0</v>
      </c>
    </row>
    <row r="65" spans="1:19">
      <c r="A65" s="154"/>
      <c r="B65" s="57"/>
      <c r="C65" s="24">
        <f t="shared" si="12"/>
        <v>1</v>
      </c>
      <c r="D65" s="675"/>
      <c r="E65" s="24">
        <f t="shared" si="13"/>
        <v>1</v>
      </c>
      <c r="F65" s="675"/>
      <c r="G65" s="24">
        <f t="shared" si="14"/>
        <v>1</v>
      </c>
      <c r="H65" s="675"/>
      <c r="I65" s="24">
        <f t="shared" si="15"/>
        <v>1</v>
      </c>
      <c r="J65" s="675"/>
      <c r="K65" s="24">
        <f t="shared" si="16"/>
        <v>1</v>
      </c>
      <c r="L65" s="675"/>
      <c r="M65" s="24">
        <f t="shared" si="17"/>
        <v>1</v>
      </c>
      <c r="N65" s="675"/>
      <c r="O65" s="24">
        <f t="shared" si="18"/>
        <v>1</v>
      </c>
      <c r="P65" s="675"/>
      <c r="Q65" s="24">
        <f t="shared" si="19"/>
        <v>1</v>
      </c>
      <c r="R65" s="671">
        <f t="shared" si="20"/>
        <v>0</v>
      </c>
      <c r="S65" s="321">
        <f t="shared" si="21"/>
        <v>0</v>
      </c>
    </row>
    <row r="66" spans="1:19">
      <c r="A66" s="154"/>
      <c r="B66" s="57"/>
      <c r="C66" s="24">
        <f t="shared" si="12"/>
        <v>1</v>
      </c>
      <c r="D66" s="675"/>
      <c r="E66" s="24">
        <f t="shared" si="13"/>
        <v>1</v>
      </c>
      <c r="F66" s="675"/>
      <c r="G66" s="24">
        <f t="shared" si="14"/>
        <v>1</v>
      </c>
      <c r="H66" s="675"/>
      <c r="I66" s="24">
        <f t="shared" si="15"/>
        <v>1</v>
      </c>
      <c r="J66" s="675"/>
      <c r="K66" s="24">
        <f t="shared" si="16"/>
        <v>1</v>
      </c>
      <c r="L66" s="675"/>
      <c r="M66" s="24">
        <f t="shared" si="17"/>
        <v>1</v>
      </c>
      <c r="N66" s="675"/>
      <c r="O66" s="24">
        <f t="shared" si="18"/>
        <v>1</v>
      </c>
      <c r="P66" s="675"/>
      <c r="Q66" s="24">
        <f t="shared" si="19"/>
        <v>1</v>
      </c>
      <c r="R66" s="671">
        <f t="shared" si="20"/>
        <v>0</v>
      </c>
      <c r="S66" s="321">
        <f t="shared" si="21"/>
        <v>0</v>
      </c>
    </row>
    <row r="67" spans="1:19">
      <c r="A67" s="154"/>
      <c r="B67" s="57"/>
      <c r="C67" s="24">
        <f t="shared" si="12"/>
        <v>1</v>
      </c>
      <c r="D67" s="675"/>
      <c r="E67" s="24">
        <f t="shared" si="13"/>
        <v>1</v>
      </c>
      <c r="F67" s="675"/>
      <c r="G67" s="24">
        <f t="shared" si="14"/>
        <v>1</v>
      </c>
      <c r="H67" s="675"/>
      <c r="I67" s="24">
        <f t="shared" si="15"/>
        <v>1</v>
      </c>
      <c r="J67" s="675"/>
      <c r="K67" s="24">
        <f t="shared" si="16"/>
        <v>1</v>
      </c>
      <c r="L67" s="675"/>
      <c r="M67" s="24">
        <f t="shared" si="17"/>
        <v>1</v>
      </c>
      <c r="N67" s="675"/>
      <c r="O67" s="24">
        <f t="shared" si="18"/>
        <v>1</v>
      </c>
      <c r="P67" s="675"/>
      <c r="Q67" s="24">
        <f t="shared" si="19"/>
        <v>1</v>
      </c>
      <c r="R67" s="671">
        <f t="shared" si="20"/>
        <v>0</v>
      </c>
      <c r="S67" s="321">
        <f t="shared" si="21"/>
        <v>0</v>
      </c>
    </row>
    <row r="68" spans="1:19">
      <c r="A68" s="154"/>
      <c r="B68" s="57"/>
      <c r="C68" s="24">
        <f t="shared" si="12"/>
        <v>1</v>
      </c>
      <c r="D68" s="675"/>
      <c r="E68" s="24">
        <f t="shared" si="13"/>
        <v>1</v>
      </c>
      <c r="F68" s="675"/>
      <c r="G68" s="24">
        <f t="shared" si="14"/>
        <v>1</v>
      </c>
      <c r="H68" s="675"/>
      <c r="I68" s="24">
        <f t="shared" si="15"/>
        <v>1</v>
      </c>
      <c r="J68" s="675"/>
      <c r="K68" s="24">
        <f t="shared" si="16"/>
        <v>1</v>
      </c>
      <c r="L68" s="675"/>
      <c r="M68" s="24">
        <f t="shared" si="17"/>
        <v>1</v>
      </c>
      <c r="N68" s="675"/>
      <c r="O68" s="24">
        <f t="shared" si="18"/>
        <v>1</v>
      </c>
      <c r="P68" s="675"/>
      <c r="Q68" s="24">
        <f t="shared" si="19"/>
        <v>1</v>
      </c>
      <c r="R68" s="671">
        <f t="shared" si="20"/>
        <v>0</v>
      </c>
      <c r="S68" s="321">
        <f t="shared" si="21"/>
        <v>0</v>
      </c>
    </row>
    <row r="69" spans="1:19">
      <c r="A69" s="154"/>
      <c r="B69" s="57"/>
      <c r="C69" s="24">
        <f t="shared" si="12"/>
        <v>1</v>
      </c>
      <c r="D69" s="675"/>
      <c r="E69" s="24">
        <f t="shared" si="13"/>
        <v>1</v>
      </c>
      <c r="F69" s="675"/>
      <c r="G69" s="24">
        <f t="shared" si="14"/>
        <v>1</v>
      </c>
      <c r="H69" s="675"/>
      <c r="I69" s="24">
        <f t="shared" si="15"/>
        <v>1</v>
      </c>
      <c r="J69" s="675"/>
      <c r="K69" s="24">
        <f t="shared" si="16"/>
        <v>1</v>
      </c>
      <c r="L69" s="675"/>
      <c r="M69" s="24">
        <f t="shared" si="17"/>
        <v>1</v>
      </c>
      <c r="N69" s="675"/>
      <c r="O69" s="24">
        <f t="shared" si="18"/>
        <v>1</v>
      </c>
      <c r="P69" s="675"/>
      <c r="Q69" s="24">
        <f t="shared" si="19"/>
        <v>1</v>
      </c>
      <c r="R69" s="671">
        <f t="shared" si="20"/>
        <v>0</v>
      </c>
      <c r="S69" s="321">
        <f t="shared" si="21"/>
        <v>0</v>
      </c>
    </row>
    <row r="70" spans="1:19">
      <c r="A70" s="154"/>
      <c r="B70" s="57"/>
      <c r="C70" s="24">
        <f t="shared" si="12"/>
        <v>1</v>
      </c>
      <c r="D70" s="675"/>
      <c r="E70" s="24">
        <f t="shared" si="13"/>
        <v>1</v>
      </c>
      <c r="F70" s="675"/>
      <c r="G70" s="24">
        <f t="shared" si="14"/>
        <v>1</v>
      </c>
      <c r="H70" s="675"/>
      <c r="I70" s="24">
        <f t="shared" si="15"/>
        <v>1</v>
      </c>
      <c r="J70" s="675"/>
      <c r="K70" s="24">
        <f t="shared" si="16"/>
        <v>1</v>
      </c>
      <c r="L70" s="675"/>
      <c r="M70" s="24">
        <f t="shared" si="17"/>
        <v>1</v>
      </c>
      <c r="N70" s="675"/>
      <c r="O70" s="24">
        <f t="shared" si="18"/>
        <v>1</v>
      </c>
      <c r="P70" s="675"/>
      <c r="Q70" s="24">
        <f t="shared" si="19"/>
        <v>1</v>
      </c>
      <c r="R70" s="671">
        <f t="shared" si="20"/>
        <v>0</v>
      </c>
      <c r="S70" s="321">
        <f t="shared" si="21"/>
        <v>0</v>
      </c>
    </row>
    <row r="71" spans="1:19">
      <c r="A71" s="154"/>
      <c r="B71" s="57"/>
      <c r="C71" s="24">
        <f t="shared" si="12"/>
        <v>1</v>
      </c>
      <c r="D71" s="675"/>
      <c r="E71" s="24">
        <f t="shared" si="13"/>
        <v>1</v>
      </c>
      <c r="F71" s="675"/>
      <c r="G71" s="24">
        <f t="shared" si="14"/>
        <v>1</v>
      </c>
      <c r="H71" s="675"/>
      <c r="I71" s="24">
        <f t="shared" si="15"/>
        <v>1</v>
      </c>
      <c r="J71" s="675"/>
      <c r="K71" s="24">
        <f t="shared" si="16"/>
        <v>1</v>
      </c>
      <c r="L71" s="675"/>
      <c r="M71" s="24">
        <f t="shared" si="17"/>
        <v>1</v>
      </c>
      <c r="N71" s="675"/>
      <c r="O71" s="24">
        <f t="shared" si="18"/>
        <v>1</v>
      </c>
      <c r="P71" s="675"/>
      <c r="Q71" s="24">
        <f t="shared" si="19"/>
        <v>1</v>
      </c>
      <c r="R71" s="671">
        <f t="shared" si="20"/>
        <v>0</v>
      </c>
      <c r="S71" s="321">
        <f t="shared" si="21"/>
        <v>0</v>
      </c>
    </row>
    <row r="72" spans="1:19">
      <c r="A72" s="154"/>
      <c r="B72" s="57"/>
      <c r="C72" s="24">
        <f t="shared" si="12"/>
        <v>1</v>
      </c>
      <c r="D72" s="675"/>
      <c r="E72" s="24">
        <f t="shared" si="13"/>
        <v>1</v>
      </c>
      <c r="F72" s="675"/>
      <c r="G72" s="24">
        <f t="shared" si="14"/>
        <v>1</v>
      </c>
      <c r="H72" s="675"/>
      <c r="I72" s="24">
        <f t="shared" si="15"/>
        <v>1</v>
      </c>
      <c r="J72" s="675"/>
      <c r="K72" s="24">
        <f t="shared" si="16"/>
        <v>1</v>
      </c>
      <c r="L72" s="675"/>
      <c r="M72" s="24">
        <f t="shared" si="17"/>
        <v>1</v>
      </c>
      <c r="N72" s="675"/>
      <c r="O72" s="24">
        <f t="shared" si="18"/>
        <v>1</v>
      </c>
      <c r="P72" s="675"/>
      <c r="Q72" s="24">
        <f t="shared" si="19"/>
        <v>1</v>
      </c>
      <c r="R72" s="671">
        <f t="shared" si="20"/>
        <v>0</v>
      </c>
      <c r="S72" s="321">
        <f t="shared" si="21"/>
        <v>0</v>
      </c>
    </row>
    <row r="73" spans="1:19">
      <c r="A73" s="154"/>
      <c r="B73" s="57"/>
      <c r="C73" s="24">
        <f t="shared" si="12"/>
        <v>1</v>
      </c>
      <c r="D73" s="675"/>
      <c r="E73" s="24">
        <f t="shared" si="13"/>
        <v>1</v>
      </c>
      <c r="F73" s="675"/>
      <c r="G73" s="24">
        <f t="shared" si="14"/>
        <v>1</v>
      </c>
      <c r="H73" s="675"/>
      <c r="I73" s="24">
        <f t="shared" si="15"/>
        <v>1</v>
      </c>
      <c r="J73" s="675"/>
      <c r="K73" s="24">
        <f t="shared" si="16"/>
        <v>1</v>
      </c>
      <c r="L73" s="675"/>
      <c r="M73" s="24">
        <f t="shared" si="17"/>
        <v>1</v>
      </c>
      <c r="N73" s="675"/>
      <c r="O73" s="24">
        <f t="shared" si="18"/>
        <v>1</v>
      </c>
      <c r="P73" s="675"/>
      <c r="Q73" s="24">
        <f t="shared" si="19"/>
        <v>1</v>
      </c>
      <c r="R73" s="671">
        <f t="shared" si="20"/>
        <v>0</v>
      </c>
      <c r="S73" s="321">
        <f t="shared" si="21"/>
        <v>0</v>
      </c>
    </row>
    <row r="74" spans="1:19">
      <c r="A74" s="154"/>
      <c r="B74" s="57"/>
      <c r="C74" s="24">
        <f t="shared" si="12"/>
        <v>1</v>
      </c>
      <c r="D74" s="675"/>
      <c r="E74" s="24">
        <f t="shared" si="13"/>
        <v>1</v>
      </c>
      <c r="F74" s="675"/>
      <c r="G74" s="24">
        <f t="shared" si="14"/>
        <v>1</v>
      </c>
      <c r="H74" s="675"/>
      <c r="I74" s="24">
        <f t="shared" si="15"/>
        <v>1</v>
      </c>
      <c r="J74" s="675"/>
      <c r="K74" s="24">
        <f t="shared" si="16"/>
        <v>1</v>
      </c>
      <c r="L74" s="675"/>
      <c r="M74" s="24">
        <f t="shared" si="17"/>
        <v>1</v>
      </c>
      <c r="N74" s="675"/>
      <c r="O74" s="24">
        <f t="shared" si="18"/>
        <v>1</v>
      </c>
      <c r="P74" s="675"/>
      <c r="Q74" s="24">
        <f t="shared" si="19"/>
        <v>1</v>
      </c>
      <c r="R74" s="671">
        <f t="shared" si="20"/>
        <v>0</v>
      </c>
      <c r="S74" s="321">
        <f t="shared" si="21"/>
        <v>0</v>
      </c>
    </row>
    <row r="75" spans="1:19">
      <c r="A75" s="154"/>
      <c r="B75" s="57"/>
      <c r="C75" s="24">
        <f t="shared" si="12"/>
        <v>1</v>
      </c>
      <c r="D75" s="675"/>
      <c r="E75" s="24">
        <f t="shared" si="13"/>
        <v>1</v>
      </c>
      <c r="F75" s="675"/>
      <c r="G75" s="24">
        <f t="shared" si="14"/>
        <v>1</v>
      </c>
      <c r="H75" s="675"/>
      <c r="I75" s="24">
        <f t="shared" si="15"/>
        <v>1</v>
      </c>
      <c r="J75" s="675"/>
      <c r="K75" s="24">
        <f t="shared" si="16"/>
        <v>1</v>
      </c>
      <c r="L75" s="675"/>
      <c r="M75" s="24">
        <f t="shared" si="17"/>
        <v>1</v>
      </c>
      <c r="N75" s="675"/>
      <c r="O75" s="24">
        <f t="shared" si="18"/>
        <v>1</v>
      </c>
      <c r="P75" s="675"/>
      <c r="Q75" s="24">
        <f t="shared" si="19"/>
        <v>1</v>
      </c>
      <c r="R75" s="671">
        <f t="shared" si="20"/>
        <v>0</v>
      </c>
      <c r="S75" s="321">
        <f t="shared" si="21"/>
        <v>0</v>
      </c>
    </row>
    <row r="76" spans="1:19">
      <c r="A76" s="154"/>
      <c r="B76" s="57"/>
      <c r="C76" s="24">
        <f t="shared" si="12"/>
        <v>1</v>
      </c>
      <c r="D76" s="675"/>
      <c r="E76" s="24">
        <f t="shared" si="13"/>
        <v>1</v>
      </c>
      <c r="F76" s="675"/>
      <c r="G76" s="24">
        <f t="shared" si="14"/>
        <v>1</v>
      </c>
      <c r="H76" s="675"/>
      <c r="I76" s="24">
        <f t="shared" si="15"/>
        <v>1</v>
      </c>
      <c r="J76" s="675"/>
      <c r="K76" s="24">
        <f t="shared" si="16"/>
        <v>1</v>
      </c>
      <c r="L76" s="675"/>
      <c r="M76" s="24">
        <f t="shared" si="17"/>
        <v>1</v>
      </c>
      <c r="N76" s="675"/>
      <c r="O76" s="24">
        <f t="shared" si="18"/>
        <v>1</v>
      </c>
      <c r="P76" s="675"/>
      <c r="Q76" s="24">
        <f t="shared" si="19"/>
        <v>1</v>
      </c>
      <c r="R76" s="671">
        <f t="shared" si="20"/>
        <v>0</v>
      </c>
      <c r="S76" s="321">
        <f t="shared" si="21"/>
        <v>0</v>
      </c>
    </row>
    <row r="77" spans="1:19">
      <c r="A77" s="154"/>
      <c r="B77" s="57"/>
      <c r="C77" s="24">
        <f t="shared" si="12"/>
        <v>1</v>
      </c>
      <c r="D77" s="675"/>
      <c r="E77" s="24">
        <f t="shared" si="13"/>
        <v>1</v>
      </c>
      <c r="F77" s="675"/>
      <c r="G77" s="24">
        <f t="shared" si="14"/>
        <v>1</v>
      </c>
      <c r="H77" s="675"/>
      <c r="I77" s="24">
        <f t="shared" si="15"/>
        <v>1</v>
      </c>
      <c r="J77" s="675"/>
      <c r="K77" s="24">
        <f t="shared" si="16"/>
        <v>1</v>
      </c>
      <c r="L77" s="675"/>
      <c r="M77" s="24">
        <f t="shared" si="17"/>
        <v>1</v>
      </c>
      <c r="N77" s="675"/>
      <c r="O77" s="24">
        <f t="shared" si="18"/>
        <v>1</v>
      </c>
      <c r="P77" s="675"/>
      <c r="Q77" s="24">
        <f t="shared" si="19"/>
        <v>1</v>
      </c>
      <c r="R77" s="671">
        <f t="shared" si="20"/>
        <v>0</v>
      </c>
      <c r="S77" s="321">
        <f t="shared" si="21"/>
        <v>0</v>
      </c>
    </row>
    <row r="78" spans="1:19">
      <c r="A78" s="154"/>
      <c r="B78" s="57"/>
      <c r="C78" s="24">
        <f t="shared" si="12"/>
        <v>1</v>
      </c>
      <c r="D78" s="675"/>
      <c r="E78" s="24">
        <f t="shared" si="13"/>
        <v>1</v>
      </c>
      <c r="F78" s="675"/>
      <c r="G78" s="24">
        <f t="shared" si="14"/>
        <v>1</v>
      </c>
      <c r="H78" s="675"/>
      <c r="I78" s="24">
        <f t="shared" si="15"/>
        <v>1</v>
      </c>
      <c r="J78" s="675"/>
      <c r="K78" s="24">
        <f t="shared" si="16"/>
        <v>1</v>
      </c>
      <c r="L78" s="675"/>
      <c r="M78" s="24">
        <f t="shared" si="17"/>
        <v>1</v>
      </c>
      <c r="N78" s="675"/>
      <c r="O78" s="24">
        <f t="shared" si="18"/>
        <v>1</v>
      </c>
      <c r="P78" s="675"/>
      <c r="Q78" s="24">
        <f t="shared" si="19"/>
        <v>1</v>
      </c>
      <c r="R78" s="671">
        <f t="shared" si="20"/>
        <v>0</v>
      </c>
      <c r="S78" s="321">
        <f t="shared" ref="S78:S122" si="22">ROUND(R78*B78/10000,0)</f>
        <v>0</v>
      </c>
    </row>
    <row r="79" spans="1:19">
      <c r="A79" s="154"/>
      <c r="B79" s="57"/>
      <c r="C79" s="24">
        <f t="shared" si="12"/>
        <v>1</v>
      </c>
      <c r="D79" s="675"/>
      <c r="E79" s="24">
        <f t="shared" si="13"/>
        <v>1</v>
      </c>
      <c r="F79" s="675"/>
      <c r="G79" s="24">
        <f t="shared" si="14"/>
        <v>1</v>
      </c>
      <c r="H79" s="675"/>
      <c r="I79" s="24">
        <f t="shared" si="15"/>
        <v>1</v>
      </c>
      <c r="J79" s="675"/>
      <c r="K79" s="24">
        <f t="shared" si="16"/>
        <v>1</v>
      </c>
      <c r="L79" s="675"/>
      <c r="M79" s="24">
        <f t="shared" si="17"/>
        <v>1</v>
      </c>
      <c r="N79" s="675"/>
      <c r="O79" s="24">
        <f t="shared" si="18"/>
        <v>1</v>
      </c>
      <c r="P79" s="675"/>
      <c r="Q79" s="24">
        <f t="shared" si="19"/>
        <v>1</v>
      </c>
      <c r="R79" s="671">
        <f t="shared" si="20"/>
        <v>0</v>
      </c>
      <c r="S79" s="321">
        <f t="shared" si="22"/>
        <v>0</v>
      </c>
    </row>
    <row r="80" spans="1:19">
      <c r="A80" s="154"/>
      <c r="B80" s="57"/>
      <c r="C80" s="24">
        <f t="shared" si="12"/>
        <v>1</v>
      </c>
      <c r="D80" s="675"/>
      <c r="E80" s="24">
        <f t="shared" si="13"/>
        <v>1</v>
      </c>
      <c r="F80" s="675"/>
      <c r="G80" s="24">
        <f t="shared" si="14"/>
        <v>1</v>
      </c>
      <c r="H80" s="675"/>
      <c r="I80" s="24">
        <f t="shared" si="15"/>
        <v>1</v>
      </c>
      <c r="J80" s="675"/>
      <c r="K80" s="24">
        <f t="shared" si="16"/>
        <v>1</v>
      </c>
      <c r="L80" s="675"/>
      <c r="M80" s="24">
        <f t="shared" si="17"/>
        <v>1</v>
      </c>
      <c r="N80" s="675"/>
      <c r="O80" s="24">
        <f t="shared" si="18"/>
        <v>1</v>
      </c>
      <c r="P80" s="675"/>
      <c r="Q80" s="24">
        <f t="shared" si="19"/>
        <v>1</v>
      </c>
      <c r="R80" s="671">
        <f t="shared" si="20"/>
        <v>0</v>
      </c>
      <c r="S80" s="321">
        <f t="shared" si="22"/>
        <v>0</v>
      </c>
    </row>
    <row r="81" spans="1:19">
      <c r="A81" s="154"/>
      <c r="B81" s="57"/>
      <c r="C81" s="24">
        <f t="shared" si="12"/>
        <v>1</v>
      </c>
      <c r="D81" s="675"/>
      <c r="E81" s="24">
        <f t="shared" si="13"/>
        <v>1</v>
      </c>
      <c r="F81" s="675"/>
      <c r="G81" s="24">
        <f t="shared" si="14"/>
        <v>1</v>
      </c>
      <c r="H81" s="675"/>
      <c r="I81" s="24">
        <f t="shared" si="15"/>
        <v>1</v>
      </c>
      <c r="J81" s="675"/>
      <c r="K81" s="24">
        <f t="shared" si="16"/>
        <v>1</v>
      </c>
      <c r="L81" s="675"/>
      <c r="M81" s="24">
        <f t="shared" si="17"/>
        <v>1</v>
      </c>
      <c r="N81" s="675"/>
      <c r="O81" s="24">
        <f t="shared" si="18"/>
        <v>1</v>
      </c>
      <c r="P81" s="675"/>
      <c r="Q81" s="24">
        <f t="shared" si="19"/>
        <v>1</v>
      </c>
      <c r="R81" s="671">
        <f t="shared" si="20"/>
        <v>0</v>
      </c>
      <c r="S81" s="321">
        <f t="shared" si="22"/>
        <v>0</v>
      </c>
    </row>
    <row r="82" spans="1:19">
      <c r="A82" s="154"/>
      <c r="B82" s="57"/>
      <c r="C82" s="24">
        <f t="shared" si="12"/>
        <v>1</v>
      </c>
      <c r="D82" s="675"/>
      <c r="E82" s="24">
        <f t="shared" si="13"/>
        <v>1</v>
      </c>
      <c r="F82" s="675"/>
      <c r="G82" s="24">
        <f t="shared" si="14"/>
        <v>1</v>
      </c>
      <c r="H82" s="675"/>
      <c r="I82" s="24">
        <f t="shared" si="15"/>
        <v>1</v>
      </c>
      <c r="J82" s="675"/>
      <c r="K82" s="24">
        <f t="shared" si="16"/>
        <v>1</v>
      </c>
      <c r="L82" s="675"/>
      <c r="M82" s="24">
        <f t="shared" si="17"/>
        <v>1</v>
      </c>
      <c r="N82" s="675"/>
      <c r="O82" s="24">
        <f t="shared" si="18"/>
        <v>1</v>
      </c>
      <c r="P82" s="675"/>
      <c r="Q82" s="24">
        <f t="shared" si="19"/>
        <v>1</v>
      </c>
      <c r="R82" s="671">
        <f t="shared" si="20"/>
        <v>0</v>
      </c>
      <c r="S82" s="321">
        <f t="shared" si="22"/>
        <v>0</v>
      </c>
    </row>
    <row r="83" spans="1:19">
      <c r="A83" s="154"/>
      <c r="B83" s="57"/>
      <c r="C83" s="24">
        <f t="shared" si="12"/>
        <v>1</v>
      </c>
      <c r="D83" s="675"/>
      <c r="E83" s="24">
        <f t="shared" si="13"/>
        <v>1</v>
      </c>
      <c r="F83" s="675"/>
      <c r="G83" s="24">
        <f t="shared" si="14"/>
        <v>1</v>
      </c>
      <c r="H83" s="675"/>
      <c r="I83" s="24">
        <f t="shared" si="15"/>
        <v>1</v>
      </c>
      <c r="J83" s="675"/>
      <c r="K83" s="24">
        <f t="shared" si="16"/>
        <v>1</v>
      </c>
      <c r="L83" s="675"/>
      <c r="M83" s="24">
        <f t="shared" si="17"/>
        <v>1</v>
      </c>
      <c r="N83" s="675"/>
      <c r="O83" s="24">
        <f t="shared" si="18"/>
        <v>1</v>
      </c>
      <c r="P83" s="675"/>
      <c r="Q83" s="24">
        <f t="shared" si="19"/>
        <v>1</v>
      </c>
      <c r="R83" s="671">
        <f t="shared" si="20"/>
        <v>0</v>
      </c>
      <c r="S83" s="321">
        <f t="shared" si="22"/>
        <v>0</v>
      </c>
    </row>
    <row r="84" spans="1:19">
      <c r="A84" s="154"/>
      <c r="B84" s="57"/>
      <c r="C84" s="24">
        <f t="shared" si="12"/>
        <v>1</v>
      </c>
      <c r="D84" s="675"/>
      <c r="E84" s="24">
        <f t="shared" si="13"/>
        <v>1</v>
      </c>
      <c r="F84" s="675"/>
      <c r="G84" s="24">
        <f t="shared" si="14"/>
        <v>1</v>
      </c>
      <c r="H84" s="675"/>
      <c r="I84" s="24">
        <f t="shared" si="15"/>
        <v>1</v>
      </c>
      <c r="J84" s="675"/>
      <c r="K84" s="24">
        <f t="shared" si="16"/>
        <v>1</v>
      </c>
      <c r="L84" s="675"/>
      <c r="M84" s="24">
        <f t="shared" si="17"/>
        <v>1</v>
      </c>
      <c r="N84" s="675"/>
      <c r="O84" s="24">
        <f t="shared" si="18"/>
        <v>1</v>
      </c>
      <c r="P84" s="675"/>
      <c r="Q84" s="24">
        <f t="shared" si="19"/>
        <v>1</v>
      </c>
      <c r="R84" s="671">
        <f t="shared" si="20"/>
        <v>0</v>
      </c>
      <c r="S84" s="321">
        <f t="shared" si="22"/>
        <v>0</v>
      </c>
    </row>
    <row r="85" spans="1:19">
      <c r="A85" s="154"/>
      <c r="B85" s="57"/>
      <c r="C85" s="24">
        <f t="shared" si="12"/>
        <v>1</v>
      </c>
      <c r="D85" s="675"/>
      <c r="E85" s="24">
        <f t="shared" si="13"/>
        <v>1</v>
      </c>
      <c r="F85" s="675"/>
      <c r="G85" s="24">
        <f t="shared" si="14"/>
        <v>1</v>
      </c>
      <c r="H85" s="675"/>
      <c r="I85" s="24">
        <f t="shared" si="15"/>
        <v>1</v>
      </c>
      <c r="J85" s="675"/>
      <c r="K85" s="24">
        <f t="shared" si="16"/>
        <v>1</v>
      </c>
      <c r="L85" s="675"/>
      <c r="M85" s="24">
        <f t="shared" si="17"/>
        <v>1</v>
      </c>
      <c r="N85" s="675"/>
      <c r="O85" s="24">
        <f t="shared" si="18"/>
        <v>1</v>
      </c>
      <c r="P85" s="675"/>
      <c r="Q85" s="24">
        <f t="shared" si="19"/>
        <v>1</v>
      </c>
      <c r="R85" s="671">
        <f t="shared" si="20"/>
        <v>0</v>
      </c>
      <c r="S85" s="321">
        <f t="shared" si="22"/>
        <v>0</v>
      </c>
    </row>
    <row r="86" spans="1:19">
      <c r="A86" s="154"/>
      <c r="B86" s="57"/>
      <c r="C86" s="24">
        <f t="shared" si="12"/>
        <v>1</v>
      </c>
      <c r="D86" s="675"/>
      <c r="E86" s="24">
        <f t="shared" si="13"/>
        <v>1</v>
      </c>
      <c r="F86" s="675"/>
      <c r="G86" s="24">
        <f t="shared" si="14"/>
        <v>1</v>
      </c>
      <c r="H86" s="675"/>
      <c r="I86" s="24">
        <f t="shared" si="15"/>
        <v>1</v>
      </c>
      <c r="J86" s="675"/>
      <c r="K86" s="24">
        <f t="shared" si="16"/>
        <v>1</v>
      </c>
      <c r="L86" s="675"/>
      <c r="M86" s="24">
        <f t="shared" si="17"/>
        <v>1</v>
      </c>
      <c r="N86" s="675"/>
      <c r="O86" s="24">
        <f t="shared" si="18"/>
        <v>1</v>
      </c>
      <c r="P86" s="675"/>
      <c r="Q86" s="24">
        <f t="shared" si="19"/>
        <v>1</v>
      </c>
      <c r="R86" s="671">
        <f t="shared" si="20"/>
        <v>0</v>
      </c>
      <c r="S86" s="321">
        <f t="shared" si="22"/>
        <v>0</v>
      </c>
    </row>
    <row r="87" spans="1:19">
      <c r="A87" s="154"/>
      <c r="B87" s="57"/>
      <c r="C87" s="24">
        <f t="shared" si="12"/>
        <v>1</v>
      </c>
      <c r="D87" s="675"/>
      <c r="E87" s="24">
        <f t="shared" si="13"/>
        <v>1</v>
      </c>
      <c r="F87" s="675"/>
      <c r="G87" s="24">
        <f t="shared" si="14"/>
        <v>1</v>
      </c>
      <c r="H87" s="675"/>
      <c r="I87" s="24">
        <f t="shared" si="15"/>
        <v>1</v>
      </c>
      <c r="J87" s="675"/>
      <c r="K87" s="24">
        <f t="shared" si="16"/>
        <v>1</v>
      </c>
      <c r="L87" s="675"/>
      <c r="M87" s="24">
        <f t="shared" si="17"/>
        <v>1</v>
      </c>
      <c r="N87" s="675"/>
      <c r="O87" s="24">
        <f t="shared" si="18"/>
        <v>1</v>
      </c>
      <c r="P87" s="675"/>
      <c r="Q87" s="24">
        <f t="shared" si="19"/>
        <v>1</v>
      </c>
      <c r="R87" s="671">
        <f t="shared" si="20"/>
        <v>0</v>
      </c>
      <c r="S87" s="321">
        <f t="shared" si="22"/>
        <v>0</v>
      </c>
    </row>
    <row r="88" spans="1:19">
      <c r="A88" s="154"/>
      <c r="B88" s="57"/>
      <c r="C88" s="24">
        <f t="shared" si="12"/>
        <v>1</v>
      </c>
      <c r="D88" s="675"/>
      <c r="E88" s="24">
        <f t="shared" si="13"/>
        <v>1</v>
      </c>
      <c r="F88" s="675"/>
      <c r="G88" s="24">
        <f t="shared" si="14"/>
        <v>1</v>
      </c>
      <c r="H88" s="675"/>
      <c r="I88" s="24">
        <f t="shared" si="15"/>
        <v>1</v>
      </c>
      <c r="J88" s="675"/>
      <c r="K88" s="24">
        <f t="shared" si="16"/>
        <v>1</v>
      </c>
      <c r="L88" s="675"/>
      <c r="M88" s="24">
        <f t="shared" si="17"/>
        <v>1</v>
      </c>
      <c r="N88" s="675"/>
      <c r="O88" s="24">
        <f t="shared" si="18"/>
        <v>1</v>
      </c>
      <c r="P88" s="675"/>
      <c r="Q88" s="24">
        <f t="shared" si="19"/>
        <v>1</v>
      </c>
      <c r="R88" s="671">
        <f t="shared" si="20"/>
        <v>0</v>
      </c>
      <c r="S88" s="321">
        <f t="shared" si="22"/>
        <v>0</v>
      </c>
    </row>
    <row r="89" spans="1:19">
      <c r="A89" s="154"/>
      <c r="B89" s="57"/>
      <c r="C89" s="24">
        <f t="shared" si="12"/>
        <v>1</v>
      </c>
      <c r="D89" s="675"/>
      <c r="E89" s="24">
        <f t="shared" si="13"/>
        <v>1</v>
      </c>
      <c r="F89" s="675"/>
      <c r="G89" s="24">
        <f t="shared" si="14"/>
        <v>1</v>
      </c>
      <c r="H89" s="675"/>
      <c r="I89" s="24">
        <f t="shared" si="15"/>
        <v>1</v>
      </c>
      <c r="J89" s="675"/>
      <c r="K89" s="24">
        <f t="shared" si="16"/>
        <v>1</v>
      </c>
      <c r="L89" s="675"/>
      <c r="M89" s="24">
        <f t="shared" si="17"/>
        <v>1</v>
      </c>
      <c r="N89" s="675"/>
      <c r="O89" s="24">
        <f t="shared" si="18"/>
        <v>1</v>
      </c>
      <c r="P89" s="675"/>
      <c r="Q89" s="24">
        <f t="shared" si="19"/>
        <v>1</v>
      </c>
      <c r="R89" s="671">
        <f t="shared" si="20"/>
        <v>0</v>
      </c>
      <c r="S89" s="321">
        <f t="shared" si="22"/>
        <v>0</v>
      </c>
    </row>
    <row r="90" spans="1:19">
      <c r="A90" s="154"/>
      <c r="B90" s="57"/>
      <c r="C90" s="24">
        <f t="shared" ref="C90:C153" si="23">IF(B90="",1,(LOOKUP(B90,$3:$3,$4:$4)-LOOKUP($B$24,$3:$3,$4:$4)+100)/100)</f>
        <v>1</v>
      </c>
      <c r="D90" s="675"/>
      <c r="E90" s="24">
        <f t="shared" ref="E90:E153" si="24">(SUMIF($5:$5,D90,$6:$6)-SUMIF($5:$5,$D$24,$6:$6)+100)/100</f>
        <v>1</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si="31">IF(B90="",0,ROUND($R$24*C90*E90*G90*I90*K90*M90*O90*Q90,0))</f>
        <v>0</v>
      </c>
      <c r="S90" s="321">
        <f t="shared" si="22"/>
        <v>0</v>
      </c>
    </row>
    <row r="91" spans="1:19">
      <c r="A91" s="154"/>
      <c r="B91" s="57"/>
      <c r="C91" s="24">
        <f t="shared" si="23"/>
        <v>1</v>
      </c>
      <c r="D91" s="675"/>
      <c r="E91" s="24">
        <f t="shared" si="24"/>
        <v>1</v>
      </c>
      <c r="F91" s="675"/>
      <c r="G91" s="24">
        <f t="shared" si="25"/>
        <v>1</v>
      </c>
      <c r="H91" s="675"/>
      <c r="I91" s="24">
        <f t="shared" si="26"/>
        <v>1</v>
      </c>
      <c r="J91" s="675"/>
      <c r="K91" s="24">
        <f t="shared" si="27"/>
        <v>1</v>
      </c>
      <c r="L91" s="675"/>
      <c r="M91" s="24">
        <f t="shared" si="28"/>
        <v>1</v>
      </c>
      <c r="N91" s="675"/>
      <c r="O91" s="24">
        <f t="shared" si="29"/>
        <v>1</v>
      </c>
      <c r="P91" s="675"/>
      <c r="Q91" s="24">
        <f t="shared" si="30"/>
        <v>1</v>
      </c>
      <c r="R91" s="671">
        <f t="shared" si="31"/>
        <v>0</v>
      </c>
      <c r="S91" s="321">
        <f t="shared" si="22"/>
        <v>0</v>
      </c>
    </row>
    <row r="92" spans="1:19">
      <c r="A92" s="154"/>
      <c r="B92" s="57"/>
      <c r="C92" s="24">
        <f t="shared" si="23"/>
        <v>1</v>
      </c>
      <c r="D92" s="675"/>
      <c r="E92" s="24">
        <f t="shared" si="24"/>
        <v>1</v>
      </c>
      <c r="F92" s="675"/>
      <c r="G92" s="24">
        <f t="shared" si="25"/>
        <v>1</v>
      </c>
      <c r="H92" s="675"/>
      <c r="I92" s="24">
        <f t="shared" si="26"/>
        <v>1</v>
      </c>
      <c r="J92" s="675"/>
      <c r="K92" s="24">
        <f t="shared" si="27"/>
        <v>1</v>
      </c>
      <c r="L92" s="675"/>
      <c r="M92" s="24">
        <f t="shared" si="28"/>
        <v>1</v>
      </c>
      <c r="N92" s="675"/>
      <c r="O92" s="24">
        <f t="shared" si="29"/>
        <v>1</v>
      </c>
      <c r="P92" s="675"/>
      <c r="Q92" s="24">
        <f t="shared" si="30"/>
        <v>1</v>
      </c>
      <c r="R92" s="671">
        <f t="shared" si="31"/>
        <v>0</v>
      </c>
      <c r="S92" s="321">
        <f t="shared" si="22"/>
        <v>0</v>
      </c>
    </row>
    <row r="93" spans="1:19">
      <c r="A93" s="154"/>
      <c r="B93" s="57"/>
      <c r="C93" s="24">
        <f t="shared" si="23"/>
        <v>1</v>
      </c>
      <c r="D93" s="675"/>
      <c r="E93" s="24">
        <f t="shared" si="24"/>
        <v>1</v>
      </c>
      <c r="F93" s="675"/>
      <c r="G93" s="24">
        <f t="shared" si="25"/>
        <v>1</v>
      </c>
      <c r="H93" s="675"/>
      <c r="I93" s="24">
        <f t="shared" si="26"/>
        <v>1</v>
      </c>
      <c r="J93" s="675"/>
      <c r="K93" s="24">
        <f t="shared" si="27"/>
        <v>1</v>
      </c>
      <c r="L93" s="675"/>
      <c r="M93" s="24">
        <f t="shared" si="28"/>
        <v>1</v>
      </c>
      <c r="N93" s="675"/>
      <c r="O93" s="24">
        <f t="shared" si="29"/>
        <v>1</v>
      </c>
      <c r="P93" s="675"/>
      <c r="Q93" s="24">
        <f t="shared" si="30"/>
        <v>1</v>
      </c>
      <c r="R93" s="671">
        <f t="shared" si="31"/>
        <v>0</v>
      </c>
      <c r="S93" s="321">
        <f t="shared" si="22"/>
        <v>0</v>
      </c>
    </row>
    <row r="94" spans="1:19">
      <c r="A94" s="154"/>
      <c r="B94" s="57"/>
      <c r="C94" s="24">
        <f t="shared" si="23"/>
        <v>1</v>
      </c>
      <c r="D94" s="675"/>
      <c r="E94" s="24">
        <f t="shared" si="24"/>
        <v>1</v>
      </c>
      <c r="F94" s="675"/>
      <c r="G94" s="24">
        <f t="shared" si="25"/>
        <v>1</v>
      </c>
      <c r="H94" s="675"/>
      <c r="I94" s="24">
        <f t="shared" si="26"/>
        <v>1</v>
      </c>
      <c r="J94" s="675"/>
      <c r="K94" s="24">
        <f t="shared" si="27"/>
        <v>1</v>
      </c>
      <c r="L94" s="675"/>
      <c r="M94" s="24">
        <f t="shared" si="28"/>
        <v>1</v>
      </c>
      <c r="N94" s="675"/>
      <c r="O94" s="24">
        <f t="shared" si="29"/>
        <v>1</v>
      </c>
      <c r="P94" s="675"/>
      <c r="Q94" s="24">
        <f t="shared" si="30"/>
        <v>1</v>
      </c>
      <c r="R94" s="671">
        <f t="shared" si="31"/>
        <v>0</v>
      </c>
      <c r="S94" s="321">
        <f t="shared" si="22"/>
        <v>0</v>
      </c>
    </row>
    <row r="95" spans="1:19">
      <c r="A95" s="154"/>
      <c r="B95" s="57"/>
      <c r="C95" s="24">
        <f t="shared" si="23"/>
        <v>1</v>
      </c>
      <c r="D95" s="675"/>
      <c r="E95" s="24">
        <f t="shared" si="24"/>
        <v>1</v>
      </c>
      <c r="F95" s="675"/>
      <c r="G95" s="24">
        <f t="shared" si="25"/>
        <v>1</v>
      </c>
      <c r="H95" s="675"/>
      <c r="I95" s="24">
        <f t="shared" si="26"/>
        <v>1</v>
      </c>
      <c r="J95" s="675"/>
      <c r="K95" s="24">
        <f t="shared" si="27"/>
        <v>1</v>
      </c>
      <c r="L95" s="675"/>
      <c r="M95" s="24">
        <f t="shared" si="28"/>
        <v>1</v>
      </c>
      <c r="N95" s="675"/>
      <c r="O95" s="24">
        <f t="shared" si="29"/>
        <v>1</v>
      </c>
      <c r="P95" s="675"/>
      <c r="Q95" s="24">
        <f t="shared" si="30"/>
        <v>1</v>
      </c>
      <c r="R95" s="671">
        <f t="shared" si="31"/>
        <v>0</v>
      </c>
      <c r="S95" s="321">
        <f t="shared" si="22"/>
        <v>0</v>
      </c>
    </row>
    <row r="96" spans="1:19">
      <c r="A96" s="154"/>
      <c r="B96" s="57"/>
      <c r="C96" s="24">
        <f t="shared" si="23"/>
        <v>1</v>
      </c>
      <c r="D96" s="675"/>
      <c r="E96" s="24">
        <f t="shared" si="24"/>
        <v>1</v>
      </c>
      <c r="F96" s="675"/>
      <c r="G96" s="24">
        <f t="shared" si="25"/>
        <v>1</v>
      </c>
      <c r="H96" s="675"/>
      <c r="I96" s="24">
        <f t="shared" si="26"/>
        <v>1</v>
      </c>
      <c r="J96" s="675"/>
      <c r="K96" s="24">
        <f t="shared" si="27"/>
        <v>1</v>
      </c>
      <c r="L96" s="675"/>
      <c r="M96" s="24">
        <f t="shared" si="28"/>
        <v>1</v>
      </c>
      <c r="N96" s="675"/>
      <c r="O96" s="24">
        <f t="shared" si="29"/>
        <v>1</v>
      </c>
      <c r="P96" s="675"/>
      <c r="Q96" s="24">
        <f t="shared" si="30"/>
        <v>1</v>
      </c>
      <c r="R96" s="671">
        <f t="shared" si="31"/>
        <v>0</v>
      </c>
      <c r="S96" s="321">
        <f t="shared" si="22"/>
        <v>0</v>
      </c>
    </row>
    <row r="97" spans="1:19">
      <c r="A97" s="154"/>
      <c r="B97" s="57"/>
      <c r="C97" s="24">
        <f t="shared" si="23"/>
        <v>1</v>
      </c>
      <c r="D97" s="675"/>
      <c r="E97" s="24">
        <f t="shared" si="24"/>
        <v>1</v>
      </c>
      <c r="F97" s="675"/>
      <c r="G97" s="24">
        <f t="shared" si="25"/>
        <v>1</v>
      </c>
      <c r="H97" s="675"/>
      <c r="I97" s="24">
        <f t="shared" si="26"/>
        <v>1</v>
      </c>
      <c r="J97" s="675"/>
      <c r="K97" s="24">
        <f t="shared" si="27"/>
        <v>1</v>
      </c>
      <c r="L97" s="675"/>
      <c r="M97" s="24">
        <f t="shared" si="28"/>
        <v>1</v>
      </c>
      <c r="N97" s="675"/>
      <c r="O97" s="24">
        <f t="shared" si="29"/>
        <v>1</v>
      </c>
      <c r="P97" s="675"/>
      <c r="Q97" s="24">
        <f t="shared" si="30"/>
        <v>1</v>
      </c>
      <c r="R97" s="671">
        <f t="shared" si="31"/>
        <v>0</v>
      </c>
      <c r="S97" s="321">
        <f t="shared" si="22"/>
        <v>0</v>
      </c>
    </row>
    <row r="98" spans="1:19">
      <c r="A98" s="154"/>
      <c r="B98" s="57"/>
      <c r="C98" s="24">
        <f t="shared" si="23"/>
        <v>1</v>
      </c>
      <c r="D98" s="675"/>
      <c r="E98" s="24">
        <f t="shared" si="24"/>
        <v>1</v>
      </c>
      <c r="F98" s="675"/>
      <c r="G98" s="24">
        <f t="shared" si="25"/>
        <v>1</v>
      </c>
      <c r="H98" s="675"/>
      <c r="I98" s="24">
        <f t="shared" si="26"/>
        <v>1</v>
      </c>
      <c r="J98" s="675"/>
      <c r="K98" s="24">
        <f t="shared" si="27"/>
        <v>1</v>
      </c>
      <c r="L98" s="675"/>
      <c r="M98" s="24">
        <f t="shared" si="28"/>
        <v>1</v>
      </c>
      <c r="N98" s="675"/>
      <c r="O98" s="24">
        <f t="shared" si="29"/>
        <v>1</v>
      </c>
      <c r="P98" s="675"/>
      <c r="Q98" s="24">
        <f t="shared" si="30"/>
        <v>1</v>
      </c>
      <c r="R98" s="671">
        <f t="shared" si="31"/>
        <v>0</v>
      </c>
      <c r="S98" s="321">
        <f t="shared" si="22"/>
        <v>0</v>
      </c>
    </row>
    <row r="99" spans="1:19">
      <c r="A99" s="154"/>
      <c r="B99" s="57"/>
      <c r="C99" s="24">
        <f t="shared" si="23"/>
        <v>1</v>
      </c>
      <c r="D99" s="675"/>
      <c r="E99" s="24">
        <f t="shared" si="24"/>
        <v>1</v>
      </c>
      <c r="F99" s="675"/>
      <c r="G99" s="24">
        <f t="shared" si="25"/>
        <v>1</v>
      </c>
      <c r="H99" s="675"/>
      <c r="I99" s="24">
        <f t="shared" si="26"/>
        <v>1</v>
      </c>
      <c r="J99" s="675"/>
      <c r="K99" s="24">
        <f t="shared" si="27"/>
        <v>1</v>
      </c>
      <c r="L99" s="675"/>
      <c r="M99" s="24">
        <f t="shared" si="28"/>
        <v>1</v>
      </c>
      <c r="N99" s="675"/>
      <c r="O99" s="24">
        <f t="shared" si="29"/>
        <v>1</v>
      </c>
      <c r="P99" s="675"/>
      <c r="Q99" s="24">
        <f t="shared" si="30"/>
        <v>1</v>
      </c>
      <c r="R99" s="671">
        <f t="shared" si="31"/>
        <v>0</v>
      </c>
      <c r="S99" s="321">
        <f t="shared" si="22"/>
        <v>0</v>
      </c>
    </row>
    <row r="100" spans="1:19">
      <c r="A100" s="154"/>
      <c r="B100" s="57"/>
      <c r="C100" s="24">
        <f t="shared" si="23"/>
        <v>1</v>
      </c>
      <c r="D100" s="675"/>
      <c r="E100" s="24">
        <f t="shared" si="24"/>
        <v>1</v>
      </c>
      <c r="F100" s="675"/>
      <c r="G100" s="24">
        <f t="shared" si="25"/>
        <v>1</v>
      </c>
      <c r="H100" s="675"/>
      <c r="I100" s="24">
        <f t="shared" si="26"/>
        <v>1</v>
      </c>
      <c r="J100" s="675"/>
      <c r="K100" s="24">
        <f t="shared" si="27"/>
        <v>1</v>
      </c>
      <c r="L100" s="675"/>
      <c r="M100" s="24">
        <f t="shared" si="28"/>
        <v>1</v>
      </c>
      <c r="N100" s="675"/>
      <c r="O100" s="24">
        <f t="shared" si="29"/>
        <v>1</v>
      </c>
      <c r="P100" s="675"/>
      <c r="Q100" s="24">
        <f t="shared" si="30"/>
        <v>1</v>
      </c>
      <c r="R100" s="671">
        <f t="shared" si="31"/>
        <v>0</v>
      </c>
      <c r="S100" s="321">
        <f t="shared" si="22"/>
        <v>0</v>
      </c>
    </row>
    <row r="101" spans="1:19">
      <c r="A101" s="154"/>
      <c r="B101" s="57"/>
      <c r="C101" s="24">
        <f t="shared" si="23"/>
        <v>1</v>
      </c>
      <c r="D101" s="675"/>
      <c r="E101" s="24">
        <f t="shared" si="24"/>
        <v>1</v>
      </c>
      <c r="F101" s="675"/>
      <c r="G101" s="24">
        <f t="shared" si="25"/>
        <v>1</v>
      </c>
      <c r="H101" s="675"/>
      <c r="I101" s="24">
        <f t="shared" si="26"/>
        <v>1</v>
      </c>
      <c r="J101" s="675"/>
      <c r="K101" s="24">
        <f t="shared" si="27"/>
        <v>1</v>
      </c>
      <c r="L101" s="675"/>
      <c r="M101" s="24">
        <f t="shared" si="28"/>
        <v>1</v>
      </c>
      <c r="N101" s="675"/>
      <c r="O101" s="24">
        <f t="shared" si="29"/>
        <v>1</v>
      </c>
      <c r="P101" s="675"/>
      <c r="Q101" s="24">
        <f t="shared" si="30"/>
        <v>1</v>
      </c>
      <c r="R101" s="671">
        <f t="shared" si="31"/>
        <v>0</v>
      </c>
      <c r="S101" s="321">
        <f t="shared" si="22"/>
        <v>0</v>
      </c>
    </row>
    <row r="102" spans="1:19">
      <c r="A102" s="154"/>
      <c r="B102" s="57"/>
      <c r="C102" s="24">
        <f t="shared" si="23"/>
        <v>1</v>
      </c>
      <c r="D102" s="675"/>
      <c r="E102" s="24">
        <f t="shared" si="24"/>
        <v>1</v>
      </c>
      <c r="F102" s="675"/>
      <c r="G102" s="24">
        <f t="shared" si="25"/>
        <v>1</v>
      </c>
      <c r="H102" s="675"/>
      <c r="I102" s="24">
        <f t="shared" si="26"/>
        <v>1</v>
      </c>
      <c r="J102" s="675"/>
      <c r="K102" s="24">
        <f t="shared" si="27"/>
        <v>1</v>
      </c>
      <c r="L102" s="675"/>
      <c r="M102" s="24">
        <f t="shared" si="28"/>
        <v>1</v>
      </c>
      <c r="N102" s="675"/>
      <c r="O102" s="24">
        <f t="shared" si="29"/>
        <v>1</v>
      </c>
      <c r="P102" s="675"/>
      <c r="Q102" s="24">
        <f t="shared" si="30"/>
        <v>1</v>
      </c>
      <c r="R102" s="671">
        <f t="shared" si="31"/>
        <v>0</v>
      </c>
      <c r="S102" s="321">
        <f t="shared" si="22"/>
        <v>0</v>
      </c>
    </row>
    <row r="103" spans="1:19">
      <c r="A103" s="154"/>
      <c r="B103" s="57"/>
      <c r="C103" s="24">
        <f t="shared" si="23"/>
        <v>1</v>
      </c>
      <c r="D103" s="675"/>
      <c r="E103" s="24">
        <f t="shared" si="24"/>
        <v>1</v>
      </c>
      <c r="F103" s="675"/>
      <c r="G103" s="24">
        <f t="shared" si="25"/>
        <v>1</v>
      </c>
      <c r="H103" s="675"/>
      <c r="I103" s="24">
        <f t="shared" si="26"/>
        <v>1</v>
      </c>
      <c r="J103" s="675"/>
      <c r="K103" s="24">
        <f t="shared" si="27"/>
        <v>1</v>
      </c>
      <c r="L103" s="675"/>
      <c r="M103" s="24">
        <f t="shared" si="28"/>
        <v>1</v>
      </c>
      <c r="N103" s="675"/>
      <c r="O103" s="24">
        <f t="shared" si="29"/>
        <v>1</v>
      </c>
      <c r="P103" s="675"/>
      <c r="Q103" s="24">
        <f t="shared" si="30"/>
        <v>1</v>
      </c>
      <c r="R103" s="671">
        <f t="shared" si="31"/>
        <v>0</v>
      </c>
      <c r="S103" s="321">
        <f t="shared" si="22"/>
        <v>0</v>
      </c>
    </row>
    <row r="104" spans="1:19">
      <c r="A104" s="154"/>
      <c r="B104" s="57"/>
      <c r="C104" s="24">
        <f t="shared" si="23"/>
        <v>1</v>
      </c>
      <c r="D104" s="675"/>
      <c r="E104" s="24">
        <f t="shared" si="24"/>
        <v>1</v>
      </c>
      <c r="F104" s="675"/>
      <c r="G104" s="24">
        <f t="shared" si="25"/>
        <v>1</v>
      </c>
      <c r="H104" s="675"/>
      <c r="I104" s="24">
        <f t="shared" si="26"/>
        <v>1</v>
      </c>
      <c r="J104" s="675"/>
      <c r="K104" s="24">
        <f t="shared" si="27"/>
        <v>1</v>
      </c>
      <c r="L104" s="675"/>
      <c r="M104" s="24">
        <f t="shared" si="28"/>
        <v>1</v>
      </c>
      <c r="N104" s="675"/>
      <c r="O104" s="24">
        <f t="shared" si="29"/>
        <v>1</v>
      </c>
      <c r="P104" s="675"/>
      <c r="Q104" s="24">
        <f t="shared" si="30"/>
        <v>1</v>
      </c>
      <c r="R104" s="671">
        <f t="shared" si="31"/>
        <v>0</v>
      </c>
      <c r="S104" s="321">
        <f t="shared" si="22"/>
        <v>0</v>
      </c>
    </row>
    <row r="105" spans="1:19">
      <c r="A105" s="154"/>
      <c r="B105" s="57"/>
      <c r="C105" s="24">
        <f t="shared" si="23"/>
        <v>1</v>
      </c>
      <c r="D105" s="675"/>
      <c r="E105" s="24">
        <f t="shared" si="24"/>
        <v>1</v>
      </c>
      <c r="F105" s="675"/>
      <c r="G105" s="24">
        <f t="shared" si="25"/>
        <v>1</v>
      </c>
      <c r="H105" s="675"/>
      <c r="I105" s="24">
        <f t="shared" si="26"/>
        <v>1</v>
      </c>
      <c r="J105" s="675"/>
      <c r="K105" s="24">
        <f t="shared" si="27"/>
        <v>1</v>
      </c>
      <c r="L105" s="675"/>
      <c r="M105" s="24">
        <f t="shared" si="28"/>
        <v>1</v>
      </c>
      <c r="N105" s="675"/>
      <c r="O105" s="24">
        <f t="shared" si="29"/>
        <v>1</v>
      </c>
      <c r="P105" s="675"/>
      <c r="Q105" s="24">
        <f t="shared" si="30"/>
        <v>1</v>
      </c>
      <c r="R105" s="671">
        <f t="shared" si="31"/>
        <v>0</v>
      </c>
      <c r="S105" s="321">
        <f t="shared" si="22"/>
        <v>0</v>
      </c>
    </row>
    <row r="106" spans="1:19">
      <c r="A106" s="154"/>
      <c r="B106" s="57"/>
      <c r="C106" s="24">
        <f t="shared" si="23"/>
        <v>1</v>
      </c>
      <c r="D106" s="675"/>
      <c r="E106" s="24">
        <f t="shared" si="24"/>
        <v>1</v>
      </c>
      <c r="F106" s="675"/>
      <c r="G106" s="24">
        <f t="shared" si="25"/>
        <v>1</v>
      </c>
      <c r="H106" s="675"/>
      <c r="I106" s="24">
        <f t="shared" si="26"/>
        <v>1</v>
      </c>
      <c r="J106" s="675"/>
      <c r="K106" s="24">
        <f t="shared" si="27"/>
        <v>1</v>
      </c>
      <c r="L106" s="675"/>
      <c r="M106" s="24">
        <f t="shared" si="28"/>
        <v>1</v>
      </c>
      <c r="N106" s="675"/>
      <c r="O106" s="24">
        <f t="shared" si="29"/>
        <v>1</v>
      </c>
      <c r="P106" s="675"/>
      <c r="Q106" s="24">
        <f t="shared" si="30"/>
        <v>1</v>
      </c>
      <c r="R106" s="671">
        <f t="shared" si="31"/>
        <v>0</v>
      </c>
      <c r="S106" s="321">
        <f t="shared" si="22"/>
        <v>0</v>
      </c>
    </row>
    <row r="107" spans="1:19">
      <c r="A107" s="154"/>
      <c r="B107" s="57"/>
      <c r="C107" s="24">
        <f t="shared" si="23"/>
        <v>1</v>
      </c>
      <c r="D107" s="675"/>
      <c r="E107" s="24">
        <f t="shared" si="24"/>
        <v>1</v>
      </c>
      <c r="F107" s="675"/>
      <c r="G107" s="24">
        <f t="shared" si="25"/>
        <v>1</v>
      </c>
      <c r="H107" s="675"/>
      <c r="I107" s="24">
        <f t="shared" si="26"/>
        <v>1</v>
      </c>
      <c r="J107" s="675"/>
      <c r="K107" s="24">
        <f t="shared" si="27"/>
        <v>1</v>
      </c>
      <c r="L107" s="675"/>
      <c r="M107" s="24">
        <f t="shared" si="28"/>
        <v>1</v>
      </c>
      <c r="N107" s="675"/>
      <c r="O107" s="24">
        <f t="shared" si="29"/>
        <v>1</v>
      </c>
      <c r="P107" s="675"/>
      <c r="Q107" s="24">
        <f t="shared" si="30"/>
        <v>1</v>
      </c>
      <c r="R107" s="671">
        <f t="shared" si="31"/>
        <v>0</v>
      </c>
      <c r="S107" s="321">
        <f t="shared" si="22"/>
        <v>0</v>
      </c>
    </row>
    <row r="108" spans="1:19">
      <c r="A108" s="154"/>
      <c r="B108" s="57"/>
      <c r="C108" s="24">
        <f t="shared" si="23"/>
        <v>1</v>
      </c>
      <c r="D108" s="675"/>
      <c r="E108" s="24">
        <f t="shared" si="24"/>
        <v>1</v>
      </c>
      <c r="F108" s="675"/>
      <c r="G108" s="24">
        <f t="shared" si="25"/>
        <v>1</v>
      </c>
      <c r="H108" s="675"/>
      <c r="I108" s="24">
        <f t="shared" si="26"/>
        <v>1</v>
      </c>
      <c r="J108" s="675"/>
      <c r="K108" s="24">
        <f t="shared" si="27"/>
        <v>1</v>
      </c>
      <c r="L108" s="675"/>
      <c r="M108" s="24">
        <f t="shared" si="28"/>
        <v>1</v>
      </c>
      <c r="N108" s="675"/>
      <c r="O108" s="24">
        <f t="shared" si="29"/>
        <v>1</v>
      </c>
      <c r="P108" s="675"/>
      <c r="Q108" s="24">
        <f t="shared" si="30"/>
        <v>1</v>
      </c>
      <c r="R108" s="671">
        <f t="shared" si="31"/>
        <v>0</v>
      </c>
      <c r="S108" s="321">
        <f t="shared" si="22"/>
        <v>0</v>
      </c>
    </row>
    <row r="109" spans="1:19">
      <c r="A109" s="154"/>
      <c r="B109" s="57"/>
      <c r="C109" s="24">
        <f t="shared" si="23"/>
        <v>1</v>
      </c>
      <c r="D109" s="675"/>
      <c r="E109" s="24">
        <f t="shared" si="24"/>
        <v>1</v>
      </c>
      <c r="F109" s="675"/>
      <c r="G109" s="24">
        <f t="shared" si="25"/>
        <v>1</v>
      </c>
      <c r="H109" s="675"/>
      <c r="I109" s="24">
        <f t="shared" si="26"/>
        <v>1</v>
      </c>
      <c r="J109" s="675"/>
      <c r="K109" s="24">
        <f t="shared" si="27"/>
        <v>1</v>
      </c>
      <c r="L109" s="675"/>
      <c r="M109" s="24">
        <f t="shared" si="28"/>
        <v>1</v>
      </c>
      <c r="N109" s="675"/>
      <c r="O109" s="24">
        <f t="shared" si="29"/>
        <v>1</v>
      </c>
      <c r="P109" s="675"/>
      <c r="Q109" s="24">
        <f t="shared" si="30"/>
        <v>1</v>
      </c>
      <c r="R109" s="671">
        <f t="shared" si="31"/>
        <v>0</v>
      </c>
      <c r="S109" s="321">
        <f t="shared" si="22"/>
        <v>0</v>
      </c>
    </row>
    <row r="110" spans="1:19">
      <c r="A110" s="154"/>
      <c r="B110" s="57"/>
      <c r="C110" s="24">
        <f t="shared" si="23"/>
        <v>1</v>
      </c>
      <c r="D110" s="675"/>
      <c r="E110" s="24">
        <f t="shared" si="24"/>
        <v>1</v>
      </c>
      <c r="F110" s="675"/>
      <c r="G110" s="24">
        <f t="shared" si="25"/>
        <v>1</v>
      </c>
      <c r="H110" s="675"/>
      <c r="I110" s="24">
        <f t="shared" si="26"/>
        <v>1</v>
      </c>
      <c r="J110" s="675"/>
      <c r="K110" s="24">
        <f t="shared" si="27"/>
        <v>1</v>
      </c>
      <c r="L110" s="675"/>
      <c r="M110" s="24">
        <f t="shared" si="28"/>
        <v>1</v>
      </c>
      <c r="N110" s="675"/>
      <c r="O110" s="24">
        <f t="shared" si="29"/>
        <v>1</v>
      </c>
      <c r="P110" s="675"/>
      <c r="Q110" s="24">
        <f t="shared" si="30"/>
        <v>1</v>
      </c>
      <c r="R110" s="671">
        <f t="shared" si="31"/>
        <v>0</v>
      </c>
      <c r="S110" s="321">
        <f t="shared" si="22"/>
        <v>0</v>
      </c>
    </row>
    <row r="111" spans="1:19">
      <c r="A111" s="154"/>
      <c r="B111" s="57"/>
      <c r="C111" s="24">
        <f t="shared" si="23"/>
        <v>1</v>
      </c>
      <c r="D111" s="675"/>
      <c r="E111" s="24">
        <f t="shared" si="24"/>
        <v>1</v>
      </c>
      <c r="F111" s="675"/>
      <c r="G111" s="24">
        <f t="shared" si="25"/>
        <v>1</v>
      </c>
      <c r="H111" s="675"/>
      <c r="I111" s="24">
        <f t="shared" si="26"/>
        <v>1</v>
      </c>
      <c r="J111" s="675"/>
      <c r="K111" s="24">
        <f t="shared" si="27"/>
        <v>1</v>
      </c>
      <c r="L111" s="675"/>
      <c r="M111" s="24">
        <f t="shared" si="28"/>
        <v>1</v>
      </c>
      <c r="N111" s="675"/>
      <c r="O111" s="24">
        <f t="shared" si="29"/>
        <v>1</v>
      </c>
      <c r="P111" s="675"/>
      <c r="Q111" s="24">
        <f t="shared" si="30"/>
        <v>1</v>
      </c>
      <c r="R111" s="671">
        <f t="shared" si="31"/>
        <v>0</v>
      </c>
      <c r="S111" s="321">
        <f t="shared" si="22"/>
        <v>0</v>
      </c>
    </row>
    <row r="112" spans="1:19">
      <c r="A112" s="154"/>
      <c r="B112" s="57"/>
      <c r="C112" s="24">
        <f t="shared" si="23"/>
        <v>1</v>
      </c>
      <c r="D112" s="675"/>
      <c r="E112" s="24">
        <f t="shared" si="24"/>
        <v>1</v>
      </c>
      <c r="F112" s="675"/>
      <c r="G112" s="24">
        <f t="shared" si="25"/>
        <v>1</v>
      </c>
      <c r="H112" s="675"/>
      <c r="I112" s="24">
        <f t="shared" si="26"/>
        <v>1</v>
      </c>
      <c r="J112" s="675"/>
      <c r="K112" s="24">
        <f t="shared" si="27"/>
        <v>1</v>
      </c>
      <c r="L112" s="675"/>
      <c r="M112" s="24">
        <f t="shared" si="28"/>
        <v>1</v>
      </c>
      <c r="N112" s="675"/>
      <c r="O112" s="24">
        <f t="shared" si="29"/>
        <v>1</v>
      </c>
      <c r="P112" s="675"/>
      <c r="Q112" s="24">
        <f t="shared" si="30"/>
        <v>1</v>
      </c>
      <c r="R112" s="671">
        <f t="shared" si="31"/>
        <v>0</v>
      </c>
      <c r="S112" s="321">
        <f t="shared" si="22"/>
        <v>0</v>
      </c>
    </row>
    <row r="113" spans="1:19">
      <c r="A113" s="154"/>
      <c r="B113" s="57"/>
      <c r="C113" s="24">
        <f t="shared" si="23"/>
        <v>1</v>
      </c>
      <c r="D113" s="675"/>
      <c r="E113" s="24">
        <f t="shared" si="24"/>
        <v>1</v>
      </c>
      <c r="F113" s="675"/>
      <c r="G113" s="24">
        <f t="shared" si="25"/>
        <v>1</v>
      </c>
      <c r="H113" s="675"/>
      <c r="I113" s="24">
        <f t="shared" si="26"/>
        <v>1</v>
      </c>
      <c r="J113" s="675"/>
      <c r="K113" s="24">
        <f t="shared" si="27"/>
        <v>1</v>
      </c>
      <c r="L113" s="675"/>
      <c r="M113" s="24">
        <f t="shared" si="28"/>
        <v>1</v>
      </c>
      <c r="N113" s="675"/>
      <c r="O113" s="24">
        <f t="shared" si="29"/>
        <v>1</v>
      </c>
      <c r="P113" s="675"/>
      <c r="Q113" s="24">
        <f t="shared" si="30"/>
        <v>1</v>
      </c>
      <c r="R113" s="671">
        <f t="shared" si="31"/>
        <v>0</v>
      </c>
      <c r="S113" s="321">
        <f t="shared" si="22"/>
        <v>0</v>
      </c>
    </row>
    <row r="114" spans="1:19">
      <c r="A114" s="154"/>
      <c r="B114" s="57"/>
      <c r="C114" s="24">
        <f t="shared" si="23"/>
        <v>1</v>
      </c>
      <c r="D114" s="675"/>
      <c r="E114" s="24">
        <f t="shared" si="24"/>
        <v>1</v>
      </c>
      <c r="F114" s="675"/>
      <c r="G114" s="24">
        <f t="shared" si="25"/>
        <v>1</v>
      </c>
      <c r="H114" s="675"/>
      <c r="I114" s="24">
        <f t="shared" si="26"/>
        <v>1</v>
      </c>
      <c r="J114" s="675"/>
      <c r="K114" s="24">
        <f t="shared" si="27"/>
        <v>1</v>
      </c>
      <c r="L114" s="675"/>
      <c r="M114" s="24">
        <f t="shared" si="28"/>
        <v>1</v>
      </c>
      <c r="N114" s="675"/>
      <c r="O114" s="24">
        <f t="shared" si="29"/>
        <v>1</v>
      </c>
      <c r="P114" s="675"/>
      <c r="Q114" s="24">
        <f t="shared" si="30"/>
        <v>1</v>
      </c>
      <c r="R114" s="671">
        <f t="shared" si="31"/>
        <v>0</v>
      </c>
      <c r="S114" s="321">
        <f t="shared" si="22"/>
        <v>0</v>
      </c>
    </row>
    <row r="115" spans="1:19">
      <c r="A115" s="154"/>
      <c r="B115" s="57"/>
      <c r="C115" s="24">
        <f t="shared" si="23"/>
        <v>1</v>
      </c>
      <c r="D115" s="675"/>
      <c r="E115" s="24">
        <f t="shared" si="24"/>
        <v>1</v>
      </c>
      <c r="F115" s="675"/>
      <c r="G115" s="24">
        <f t="shared" si="25"/>
        <v>1</v>
      </c>
      <c r="H115" s="675"/>
      <c r="I115" s="24">
        <f t="shared" si="26"/>
        <v>1</v>
      </c>
      <c r="J115" s="675"/>
      <c r="K115" s="24">
        <f t="shared" si="27"/>
        <v>1</v>
      </c>
      <c r="L115" s="675"/>
      <c r="M115" s="24">
        <f t="shared" si="28"/>
        <v>1</v>
      </c>
      <c r="N115" s="675"/>
      <c r="O115" s="24">
        <f t="shared" si="29"/>
        <v>1</v>
      </c>
      <c r="P115" s="675"/>
      <c r="Q115" s="24">
        <f t="shared" si="30"/>
        <v>1</v>
      </c>
      <c r="R115" s="671">
        <f t="shared" si="31"/>
        <v>0</v>
      </c>
      <c r="S115" s="321">
        <f t="shared" si="22"/>
        <v>0</v>
      </c>
    </row>
    <row r="116" spans="1:19">
      <c r="A116" s="154"/>
      <c r="B116" s="57"/>
      <c r="C116" s="24">
        <f t="shared" si="23"/>
        <v>1</v>
      </c>
      <c r="D116" s="675"/>
      <c r="E116" s="24">
        <f t="shared" si="24"/>
        <v>1</v>
      </c>
      <c r="F116" s="675"/>
      <c r="G116" s="24">
        <f t="shared" si="25"/>
        <v>1</v>
      </c>
      <c r="H116" s="675"/>
      <c r="I116" s="24">
        <f t="shared" si="26"/>
        <v>1</v>
      </c>
      <c r="J116" s="675"/>
      <c r="K116" s="24">
        <f t="shared" si="27"/>
        <v>1</v>
      </c>
      <c r="L116" s="675"/>
      <c r="M116" s="24">
        <f t="shared" si="28"/>
        <v>1</v>
      </c>
      <c r="N116" s="675"/>
      <c r="O116" s="24">
        <f t="shared" si="29"/>
        <v>1</v>
      </c>
      <c r="P116" s="675"/>
      <c r="Q116" s="24">
        <f t="shared" si="30"/>
        <v>1</v>
      </c>
      <c r="R116" s="671">
        <f t="shared" si="31"/>
        <v>0</v>
      </c>
      <c r="S116" s="321">
        <f t="shared" si="22"/>
        <v>0</v>
      </c>
    </row>
    <row r="117" spans="1:19">
      <c r="A117" s="154"/>
      <c r="B117" s="57"/>
      <c r="C117" s="24">
        <f t="shared" si="23"/>
        <v>1</v>
      </c>
      <c r="D117" s="675"/>
      <c r="E117" s="24">
        <f t="shared" si="24"/>
        <v>1</v>
      </c>
      <c r="F117" s="675"/>
      <c r="G117" s="24">
        <f t="shared" si="25"/>
        <v>1</v>
      </c>
      <c r="H117" s="675"/>
      <c r="I117" s="24">
        <f t="shared" si="26"/>
        <v>1</v>
      </c>
      <c r="J117" s="675"/>
      <c r="K117" s="24">
        <f t="shared" si="27"/>
        <v>1</v>
      </c>
      <c r="L117" s="675"/>
      <c r="M117" s="24">
        <f t="shared" si="28"/>
        <v>1</v>
      </c>
      <c r="N117" s="675"/>
      <c r="O117" s="24">
        <f t="shared" si="29"/>
        <v>1</v>
      </c>
      <c r="P117" s="675"/>
      <c r="Q117" s="24">
        <f t="shared" si="30"/>
        <v>1</v>
      </c>
      <c r="R117" s="671">
        <f t="shared" si="31"/>
        <v>0</v>
      </c>
      <c r="S117" s="321">
        <f t="shared" si="22"/>
        <v>0</v>
      </c>
    </row>
    <row r="118" spans="1:19">
      <c r="A118" s="154"/>
      <c r="B118" s="57"/>
      <c r="C118" s="24">
        <f t="shared" si="23"/>
        <v>1</v>
      </c>
      <c r="D118" s="675"/>
      <c r="E118" s="24">
        <f t="shared" si="24"/>
        <v>1</v>
      </c>
      <c r="F118" s="675"/>
      <c r="G118" s="24">
        <f t="shared" si="25"/>
        <v>1</v>
      </c>
      <c r="H118" s="675"/>
      <c r="I118" s="24">
        <f t="shared" si="26"/>
        <v>1</v>
      </c>
      <c r="J118" s="675"/>
      <c r="K118" s="24">
        <f t="shared" si="27"/>
        <v>1</v>
      </c>
      <c r="L118" s="675"/>
      <c r="M118" s="24">
        <f t="shared" si="28"/>
        <v>1</v>
      </c>
      <c r="N118" s="675"/>
      <c r="O118" s="24">
        <f t="shared" si="29"/>
        <v>1</v>
      </c>
      <c r="P118" s="675"/>
      <c r="Q118" s="24">
        <f t="shared" si="30"/>
        <v>1</v>
      </c>
      <c r="R118" s="671">
        <f t="shared" si="31"/>
        <v>0</v>
      </c>
      <c r="S118" s="321">
        <f t="shared" si="22"/>
        <v>0</v>
      </c>
    </row>
    <row r="119" spans="1:19">
      <c r="A119" s="154"/>
      <c r="B119" s="57"/>
      <c r="C119" s="24">
        <f t="shared" si="23"/>
        <v>1</v>
      </c>
      <c r="D119" s="675"/>
      <c r="E119" s="24">
        <f t="shared" si="24"/>
        <v>1</v>
      </c>
      <c r="F119" s="675"/>
      <c r="G119" s="24">
        <f t="shared" si="25"/>
        <v>1</v>
      </c>
      <c r="H119" s="675"/>
      <c r="I119" s="24">
        <f t="shared" si="26"/>
        <v>1</v>
      </c>
      <c r="J119" s="675"/>
      <c r="K119" s="24">
        <f t="shared" si="27"/>
        <v>1</v>
      </c>
      <c r="L119" s="675"/>
      <c r="M119" s="24">
        <f t="shared" si="28"/>
        <v>1</v>
      </c>
      <c r="N119" s="675"/>
      <c r="O119" s="24">
        <f t="shared" si="29"/>
        <v>1</v>
      </c>
      <c r="P119" s="675"/>
      <c r="Q119" s="24">
        <f t="shared" si="30"/>
        <v>1</v>
      </c>
      <c r="R119" s="671">
        <f t="shared" si="31"/>
        <v>0</v>
      </c>
      <c r="S119" s="321">
        <f t="shared" si="22"/>
        <v>0</v>
      </c>
    </row>
    <row r="120" spans="1:19">
      <c r="A120" s="154"/>
      <c r="B120" s="57"/>
      <c r="C120" s="24">
        <f t="shared" si="23"/>
        <v>1</v>
      </c>
      <c r="D120" s="675"/>
      <c r="E120" s="24">
        <f t="shared" si="24"/>
        <v>1</v>
      </c>
      <c r="F120" s="675"/>
      <c r="G120" s="24">
        <f t="shared" si="25"/>
        <v>1</v>
      </c>
      <c r="H120" s="675"/>
      <c r="I120" s="24">
        <f t="shared" si="26"/>
        <v>1</v>
      </c>
      <c r="J120" s="675"/>
      <c r="K120" s="24">
        <f t="shared" si="27"/>
        <v>1</v>
      </c>
      <c r="L120" s="675"/>
      <c r="M120" s="24">
        <f t="shared" si="28"/>
        <v>1</v>
      </c>
      <c r="N120" s="675"/>
      <c r="O120" s="24">
        <f t="shared" si="29"/>
        <v>1</v>
      </c>
      <c r="P120" s="675"/>
      <c r="Q120" s="24">
        <f t="shared" si="30"/>
        <v>1</v>
      </c>
      <c r="R120" s="671">
        <f t="shared" si="31"/>
        <v>0</v>
      </c>
      <c r="S120" s="321">
        <f t="shared" si="22"/>
        <v>0</v>
      </c>
    </row>
    <row r="121" spans="1:19">
      <c r="A121" s="154"/>
      <c r="B121" s="57"/>
      <c r="C121" s="24">
        <f t="shared" si="23"/>
        <v>1</v>
      </c>
      <c r="D121" s="675"/>
      <c r="E121" s="24">
        <f t="shared" si="24"/>
        <v>1</v>
      </c>
      <c r="F121" s="675"/>
      <c r="G121" s="24">
        <f t="shared" si="25"/>
        <v>1</v>
      </c>
      <c r="H121" s="675"/>
      <c r="I121" s="24">
        <f t="shared" si="26"/>
        <v>1</v>
      </c>
      <c r="J121" s="675"/>
      <c r="K121" s="24">
        <f t="shared" si="27"/>
        <v>1</v>
      </c>
      <c r="L121" s="675"/>
      <c r="M121" s="24">
        <f t="shared" si="28"/>
        <v>1</v>
      </c>
      <c r="N121" s="675"/>
      <c r="O121" s="24">
        <f t="shared" si="29"/>
        <v>1</v>
      </c>
      <c r="P121" s="675"/>
      <c r="Q121" s="24">
        <f t="shared" si="30"/>
        <v>1</v>
      </c>
      <c r="R121" s="671">
        <f t="shared" si="31"/>
        <v>0</v>
      </c>
      <c r="S121" s="321">
        <f t="shared" si="22"/>
        <v>0</v>
      </c>
    </row>
    <row r="122" spans="1:19">
      <c r="A122" s="154"/>
      <c r="B122" s="57"/>
      <c r="C122" s="24">
        <f t="shared" si="23"/>
        <v>1</v>
      </c>
      <c r="D122" s="675"/>
      <c r="E122" s="24">
        <f t="shared" si="24"/>
        <v>1</v>
      </c>
      <c r="F122" s="675"/>
      <c r="G122" s="24">
        <f t="shared" si="25"/>
        <v>1</v>
      </c>
      <c r="H122" s="675"/>
      <c r="I122" s="24">
        <f t="shared" si="26"/>
        <v>1</v>
      </c>
      <c r="J122" s="675"/>
      <c r="K122" s="24">
        <f t="shared" si="27"/>
        <v>1</v>
      </c>
      <c r="L122" s="675"/>
      <c r="M122" s="24">
        <f t="shared" si="28"/>
        <v>1</v>
      </c>
      <c r="N122" s="675"/>
      <c r="O122" s="24">
        <f t="shared" si="29"/>
        <v>1</v>
      </c>
      <c r="P122" s="675"/>
      <c r="Q122" s="24">
        <f t="shared" si="30"/>
        <v>1</v>
      </c>
      <c r="R122" s="671">
        <f t="shared" si="31"/>
        <v>0</v>
      </c>
      <c r="S122" s="321">
        <f t="shared" si="22"/>
        <v>0</v>
      </c>
    </row>
    <row r="123" spans="1:19">
      <c r="A123" s="154"/>
      <c r="B123" s="57"/>
      <c r="C123" s="24">
        <f t="shared" si="23"/>
        <v>1</v>
      </c>
      <c r="D123" s="675"/>
      <c r="E123" s="24">
        <f t="shared" si="24"/>
        <v>1</v>
      </c>
      <c r="F123" s="675"/>
      <c r="G123" s="24">
        <f t="shared" si="25"/>
        <v>1</v>
      </c>
      <c r="H123" s="675"/>
      <c r="I123" s="24">
        <f t="shared" si="26"/>
        <v>1</v>
      </c>
      <c r="J123" s="675"/>
      <c r="K123" s="24">
        <f t="shared" si="27"/>
        <v>1</v>
      </c>
      <c r="L123" s="675"/>
      <c r="M123" s="24">
        <f t="shared" si="28"/>
        <v>1</v>
      </c>
      <c r="N123" s="675"/>
      <c r="O123" s="24">
        <f t="shared" si="29"/>
        <v>1</v>
      </c>
      <c r="P123" s="675"/>
      <c r="Q123" s="24">
        <f t="shared" si="30"/>
        <v>1</v>
      </c>
      <c r="R123" s="671">
        <f t="shared" si="31"/>
        <v>0</v>
      </c>
      <c r="S123" s="321">
        <f t="shared" ref="S123:S186" si="32">ROUND(R123*B123/10000,0)</f>
        <v>0</v>
      </c>
    </row>
    <row r="124" spans="1:19">
      <c r="A124" s="154"/>
      <c r="B124" s="57"/>
      <c r="C124" s="24">
        <f t="shared" si="23"/>
        <v>1</v>
      </c>
      <c r="D124" s="675"/>
      <c r="E124" s="24">
        <f t="shared" si="24"/>
        <v>1</v>
      </c>
      <c r="F124" s="675"/>
      <c r="G124" s="24">
        <f t="shared" si="25"/>
        <v>1</v>
      </c>
      <c r="H124" s="675"/>
      <c r="I124" s="24">
        <f t="shared" si="26"/>
        <v>1</v>
      </c>
      <c r="J124" s="675"/>
      <c r="K124" s="24">
        <f t="shared" si="27"/>
        <v>1</v>
      </c>
      <c r="L124" s="675"/>
      <c r="M124" s="24">
        <f t="shared" si="28"/>
        <v>1</v>
      </c>
      <c r="N124" s="675"/>
      <c r="O124" s="24">
        <f t="shared" si="29"/>
        <v>1</v>
      </c>
      <c r="P124" s="675"/>
      <c r="Q124" s="24">
        <f t="shared" si="30"/>
        <v>1</v>
      </c>
      <c r="R124" s="671">
        <f t="shared" si="31"/>
        <v>0</v>
      </c>
      <c r="S124" s="321">
        <f t="shared" si="32"/>
        <v>0</v>
      </c>
    </row>
    <row r="125" spans="1:19">
      <c r="A125" s="154"/>
      <c r="B125" s="57"/>
      <c r="C125" s="24">
        <f t="shared" si="23"/>
        <v>1</v>
      </c>
      <c r="D125" s="675"/>
      <c r="E125" s="24">
        <f t="shared" si="24"/>
        <v>1</v>
      </c>
      <c r="F125" s="675"/>
      <c r="G125" s="24">
        <f t="shared" si="25"/>
        <v>1</v>
      </c>
      <c r="H125" s="675"/>
      <c r="I125" s="24">
        <f t="shared" si="26"/>
        <v>1</v>
      </c>
      <c r="J125" s="675"/>
      <c r="K125" s="24">
        <f t="shared" si="27"/>
        <v>1</v>
      </c>
      <c r="L125" s="675"/>
      <c r="M125" s="24">
        <f t="shared" si="28"/>
        <v>1</v>
      </c>
      <c r="N125" s="675"/>
      <c r="O125" s="24">
        <f t="shared" si="29"/>
        <v>1</v>
      </c>
      <c r="P125" s="675"/>
      <c r="Q125" s="24">
        <f t="shared" si="30"/>
        <v>1</v>
      </c>
      <c r="R125" s="671">
        <f t="shared" si="31"/>
        <v>0</v>
      </c>
      <c r="S125" s="321">
        <f t="shared" si="32"/>
        <v>0</v>
      </c>
    </row>
    <row r="126" spans="1:19">
      <c r="A126" s="154"/>
      <c r="B126" s="57"/>
      <c r="C126" s="24">
        <f t="shared" si="23"/>
        <v>1</v>
      </c>
      <c r="D126" s="675"/>
      <c r="E126" s="24">
        <f t="shared" si="24"/>
        <v>1</v>
      </c>
      <c r="F126" s="675"/>
      <c r="G126" s="24">
        <f t="shared" si="25"/>
        <v>1</v>
      </c>
      <c r="H126" s="675"/>
      <c r="I126" s="24">
        <f t="shared" si="26"/>
        <v>1</v>
      </c>
      <c r="J126" s="675"/>
      <c r="K126" s="24">
        <f t="shared" si="27"/>
        <v>1</v>
      </c>
      <c r="L126" s="675"/>
      <c r="M126" s="24">
        <f t="shared" si="28"/>
        <v>1</v>
      </c>
      <c r="N126" s="675"/>
      <c r="O126" s="24">
        <f t="shared" si="29"/>
        <v>1</v>
      </c>
      <c r="P126" s="675"/>
      <c r="Q126" s="24">
        <f t="shared" si="30"/>
        <v>1</v>
      </c>
      <c r="R126" s="671">
        <f t="shared" si="31"/>
        <v>0</v>
      </c>
      <c r="S126" s="321">
        <f t="shared" si="32"/>
        <v>0</v>
      </c>
    </row>
    <row r="127" spans="1:19">
      <c r="A127" s="154"/>
      <c r="B127" s="57"/>
      <c r="C127" s="24">
        <f t="shared" si="23"/>
        <v>1</v>
      </c>
      <c r="D127" s="675"/>
      <c r="E127" s="24">
        <f t="shared" si="24"/>
        <v>1</v>
      </c>
      <c r="F127" s="675"/>
      <c r="G127" s="24">
        <f t="shared" si="25"/>
        <v>1</v>
      </c>
      <c r="H127" s="675"/>
      <c r="I127" s="24">
        <f t="shared" si="26"/>
        <v>1</v>
      </c>
      <c r="J127" s="675"/>
      <c r="K127" s="24">
        <f t="shared" si="27"/>
        <v>1</v>
      </c>
      <c r="L127" s="675"/>
      <c r="M127" s="24">
        <f t="shared" si="28"/>
        <v>1</v>
      </c>
      <c r="N127" s="675"/>
      <c r="O127" s="24">
        <f t="shared" si="29"/>
        <v>1</v>
      </c>
      <c r="P127" s="675"/>
      <c r="Q127" s="24">
        <f t="shared" si="30"/>
        <v>1</v>
      </c>
      <c r="R127" s="671">
        <f t="shared" si="31"/>
        <v>0</v>
      </c>
      <c r="S127" s="321">
        <f t="shared" si="32"/>
        <v>0</v>
      </c>
    </row>
    <row r="128" spans="1:19">
      <c r="A128" s="154"/>
      <c r="B128" s="57"/>
      <c r="C128" s="24">
        <f t="shared" si="23"/>
        <v>1</v>
      </c>
      <c r="D128" s="675"/>
      <c r="E128" s="24">
        <f t="shared" si="24"/>
        <v>1</v>
      </c>
      <c r="F128" s="675"/>
      <c r="G128" s="24">
        <f t="shared" si="25"/>
        <v>1</v>
      </c>
      <c r="H128" s="675"/>
      <c r="I128" s="24">
        <f t="shared" si="26"/>
        <v>1</v>
      </c>
      <c r="J128" s="675"/>
      <c r="K128" s="24">
        <f t="shared" si="27"/>
        <v>1</v>
      </c>
      <c r="L128" s="675"/>
      <c r="M128" s="24">
        <f t="shared" si="28"/>
        <v>1</v>
      </c>
      <c r="N128" s="675"/>
      <c r="O128" s="24">
        <f t="shared" si="29"/>
        <v>1</v>
      </c>
      <c r="P128" s="675"/>
      <c r="Q128" s="24">
        <f t="shared" si="30"/>
        <v>1</v>
      </c>
      <c r="R128" s="671">
        <f t="shared" si="31"/>
        <v>0</v>
      </c>
      <c r="S128" s="321">
        <f t="shared" si="32"/>
        <v>0</v>
      </c>
    </row>
    <row r="129" spans="1:19">
      <c r="A129" s="154"/>
      <c r="B129" s="57"/>
      <c r="C129" s="24">
        <f t="shared" si="23"/>
        <v>1</v>
      </c>
      <c r="D129" s="675"/>
      <c r="E129" s="24">
        <f t="shared" si="24"/>
        <v>1</v>
      </c>
      <c r="F129" s="675"/>
      <c r="G129" s="24">
        <f t="shared" si="25"/>
        <v>1</v>
      </c>
      <c r="H129" s="675"/>
      <c r="I129" s="24">
        <f t="shared" si="26"/>
        <v>1</v>
      </c>
      <c r="J129" s="675"/>
      <c r="K129" s="24">
        <f t="shared" si="27"/>
        <v>1</v>
      </c>
      <c r="L129" s="675"/>
      <c r="M129" s="24">
        <f t="shared" si="28"/>
        <v>1</v>
      </c>
      <c r="N129" s="675"/>
      <c r="O129" s="24">
        <f t="shared" si="29"/>
        <v>1</v>
      </c>
      <c r="P129" s="675"/>
      <c r="Q129" s="24">
        <f t="shared" si="30"/>
        <v>1</v>
      </c>
      <c r="R129" s="671">
        <f t="shared" si="31"/>
        <v>0</v>
      </c>
      <c r="S129" s="321">
        <f t="shared" si="32"/>
        <v>0</v>
      </c>
    </row>
    <row r="130" spans="1:19">
      <c r="A130" s="154"/>
      <c r="B130" s="57"/>
      <c r="C130" s="24">
        <f t="shared" si="23"/>
        <v>1</v>
      </c>
      <c r="D130" s="675"/>
      <c r="E130" s="24">
        <f t="shared" si="24"/>
        <v>1</v>
      </c>
      <c r="F130" s="675"/>
      <c r="G130" s="24">
        <f t="shared" si="25"/>
        <v>1</v>
      </c>
      <c r="H130" s="675"/>
      <c r="I130" s="24">
        <f t="shared" si="26"/>
        <v>1</v>
      </c>
      <c r="J130" s="675"/>
      <c r="K130" s="24">
        <f t="shared" si="27"/>
        <v>1</v>
      </c>
      <c r="L130" s="675"/>
      <c r="M130" s="24">
        <f t="shared" si="28"/>
        <v>1</v>
      </c>
      <c r="N130" s="675"/>
      <c r="O130" s="24">
        <f t="shared" si="29"/>
        <v>1</v>
      </c>
      <c r="P130" s="675"/>
      <c r="Q130" s="24">
        <f t="shared" si="30"/>
        <v>1</v>
      </c>
      <c r="R130" s="671">
        <f t="shared" si="31"/>
        <v>0</v>
      </c>
      <c r="S130" s="321">
        <f t="shared" si="32"/>
        <v>0</v>
      </c>
    </row>
    <row r="131" spans="1:19">
      <c r="A131" s="154"/>
      <c r="B131" s="57"/>
      <c r="C131" s="24">
        <f t="shared" si="23"/>
        <v>1</v>
      </c>
      <c r="D131" s="675"/>
      <c r="E131" s="24">
        <f t="shared" si="24"/>
        <v>1</v>
      </c>
      <c r="F131" s="675"/>
      <c r="G131" s="24">
        <f t="shared" si="25"/>
        <v>1</v>
      </c>
      <c r="H131" s="675"/>
      <c r="I131" s="24">
        <f t="shared" si="26"/>
        <v>1</v>
      </c>
      <c r="J131" s="675"/>
      <c r="K131" s="24">
        <f t="shared" si="27"/>
        <v>1</v>
      </c>
      <c r="L131" s="675"/>
      <c r="M131" s="24">
        <f t="shared" si="28"/>
        <v>1</v>
      </c>
      <c r="N131" s="675"/>
      <c r="O131" s="24">
        <f t="shared" si="29"/>
        <v>1</v>
      </c>
      <c r="P131" s="675"/>
      <c r="Q131" s="24">
        <f t="shared" si="30"/>
        <v>1</v>
      </c>
      <c r="R131" s="671">
        <f t="shared" si="31"/>
        <v>0</v>
      </c>
      <c r="S131" s="321">
        <f t="shared" si="32"/>
        <v>0</v>
      </c>
    </row>
    <row r="132" spans="1:19">
      <c r="A132" s="154"/>
      <c r="B132" s="57"/>
      <c r="C132" s="24">
        <f t="shared" si="23"/>
        <v>1</v>
      </c>
      <c r="D132" s="675"/>
      <c r="E132" s="24">
        <f t="shared" si="24"/>
        <v>1</v>
      </c>
      <c r="F132" s="675"/>
      <c r="G132" s="24">
        <f t="shared" si="25"/>
        <v>1</v>
      </c>
      <c r="H132" s="675"/>
      <c r="I132" s="24">
        <f t="shared" si="26"/>
        <v>1</v>
      </c>
      <c r="J132" s="675"/>
      <c r="K132" s="24">
        <f t="shared" si="27"/>
        <v>1</v>
      </c>
      <c r="L132" s="675"/>
      <c r="M132" s="24">
        <f t="shared" si="28"/>
        <v>1</v>
      </c>
      <c r="N132" s="675"/>
      <c r="O132" s="24">
        <f t="shared" si="29"/>
        <v>1</v>
      </c>
      <c r="P132" s="675"/>
      <c r="Q132" s="24">
        <f t="shared" si="30"/>
        <v>1</v>
      </c>
      <c r="R132" s="671">
        <f t="shared" si="31"/>
        <v>0</v>
      </c>
      <c r="S132" s="321">
        <f t="shared" si="32"/>
        <v>0</v>
      </c>
    </row>
    <row r="133" spans="1:19">
      <c r="A133" s="154"/>
      <c r="B133" s="57"/>
      <c r="C133" s="24">
        <f t="shared" si="23"/>
        <v>1</v>
      </c>
      <c r="D133" s="675"/>
      <c r="E133" s="24">
        <f t="shared" si="24"/>
        <v>1</v>
      </c>
      <c r="F133" s="675"/>
      <c r="G133" s="24">
        <f t="shared" si="25"/>
        <v>1</v>
      </c>
      <c r="H133" s="675"/>
      <c r="I133" s="24">
        <f t="shared" si="26"/>
        <v>1</v>
      </c>
      <c r="J133" s="675"/>
      <c r="K133" s="24">
        <f t="shared" si="27"/>
        <v>1</v>
      </c>
      <c r="L133" s="675"/>
      <c r="M133" s="24">
        <f t="shared" si="28"/>
        <v>1</v>
      </c>
      <c r="N133" s="675"/>
      <c r="O133" s="24">
        <f t="shared" si="29"/>
        <v>1</v>
      </c>
      <c r="P133" s="675"/>
      <c r="Q133" s="24">
        <f t="shared" si="30"/>
        <v>1</v>
      </c>
      <c r="R133" s="671">
        <f t="shared" si="31"/>
        <v>0</v>
      </c>
      <c r="S133" s="321">
        <f t="shared" si="32"/>
        <v>0</v>
      </c>
    </row>
    <row r="134" spans="1:19">
      <c r="A134" s="154"/>
      <c r="B134" s="57"/>
      <c r="C134" s="24">
        <f t="shared" si="23"/>
        <v>1</v>
      </c>
      <c r="D134" s="675"/>
      <c r="E134" s="24">
        <f t="shared" si="24"/>
        <v>1</v>
      </c>
      <c r="F134" s="675"/>
      <c r="G134" s="24">
        <f t="shared" si="25"/>
        <v>1</v>
      </c>
      <c r="H134" s="675"/>
      <c r="I134" s="24">
        <f t="shared" si="26"/>
        <v>1</v>
      </c>
      <c r="J134" s="675"/>
      <c r="K134" s="24">
        <f t="shared" si="27"/>
        <v>1</v>
      </c>
      <c r="L134" s="675"/>
      <c r="M134" s="24">
        <f t="shared" si="28"/>
        <v>1</v>
      </c>
      <c r="N134" s="675"/>
      <c r="O134" s="24">
        <f t="shared" si="29"/>
        <v>1</v>
      </c>
      <c r="P134" s="675"/>
      <c r="Q134" s="24">
        <f t="shared" si="30"/>
        <v>1</v>
      </c>
      <c r="R134" s="671">
        <f t="shared" si="31"/>
        <v>0</v>
      </c>
      <c r="S134" s="321">
        <f t="shared" si="32"/>
        <v>0</v>
      </c>
    </row>
    <row r="135" spans="1:19">
      <c r="A135" s="154"/>
      <c r="B135" s="57"/>
      <c r="C135" s="24">
        <f t="shared" si="23"/>
        <v>1</v>
      </c>
      <c r="D135" s="675"/>
      <c r="E135" s="24">
        <f t="shared" si="24"/>
        <v>1</v>
      </c>
      <c r="F135" s="675"/>
      <c r="G135" s="24">
        <f t="shared" si="25"/>
        <v>1</v>
      </c>
      <c r="H135" s="675"/>
      <c r="I135" s="24">
        <f t="shared" si="26"/>
        <v>1</v>
      </c>
      <c r="J135" s="675"/>
      <c r="K135" s="24">
        <f t="shared" si="27"/>
        <v>1</v>
      </c>
      <c r="L135" s="675"/>
      <c r="M135" s="24">
        <f t="shared" si="28"/>
        <v>1</v>
      </c>
      <c r="N135" s="675"/>
      <c r="O135" s="24">
        <f t="shared" si="29"/>
        <v>1</v>
      </c>
      <c r="P135" s="675"/>
      <c r="Q135" s="24">
        <f t="shared" si="30"/>
        <v>1</v>
      </c>
      <c r="R135" s="671">
        <f t="shared" si="31"/>
        <v>0</v>
      </c>
      <c r="S135" s="321">
        <f t="shared" si="32"/>
        <v>0</v>
      </c>
    </row>
    <row r="136" spans="1:19">
      <c r="A136" s="154"/>
      <c r="B136" s="57"/>
      <c r="C136" s="24">
        <f t="shared" si="23"/>
        <v>1</v>
      </c>
      <c r="D136" s="675"/>
      <c r="E136" s="24">
        <f t="shared" si="24"/>
        <v>1</v>
      </c>
      <c r="F136" s="675"/>
      <c r="G136" s="24">
        <f t="shared" si="25"/>
        <v>1</v>
      </c>
      <c r="H136" s="675"/>
      <c r="I136" s="24">
        <f t="shared" si="26"/>
        <v>1</v>
      </c>
      <c r="J136" s="675"/>
      <c r="K136" s="24">
        <f t="shared" si="27"/>
        <v>1</v>
      </c>
      <c r="L136" s="675"/>
      <c r="M136" s="24">
        <f t="shared" si="28"/>
        <v>1</v>
      </c>
      <c r="N136" s="675"/>
      <c r="O136" s="24">
        <f t="shared" si="29"/>
        <v>1</v>
      </c>
      <c r="P136" s="675"/>
      <c r="Q136" s="24">
        <f t="shared" si="30"/>
        <v>1</v>
      </c>
      <c r="R136" s="671">
        <f t="shared" si="31"/>
        <v>0</v>
      </c>
      <c r="S136" s="321">
        <f t="shared" si="32"/>
        <v>0</v>
      </c>
    </row>
    <row r="137" spans="1:19">
      <c r="A137" s="154"/>
      <c r="B137" s="57"/>
      <c r="C137" s="24">
        <f t="shared" si="23"/>
        <v>1</v>
      </c>
      <c r="D137" s="675"/>
      <c r="E137" s="24">
        <f t="shared" si="24"/>
        <v>1</v>
      </c>
      <c r="F137" s="675"/>
      <c r="G137" s="24">
        <f t="shared" si="25"/>
        <v>1</v>
      </c>
      <c r="H137" s="675"/>
      <c r="I137" s="24">
        <f t="shared" si="26"/>
        <v>1</v>
      </c>
      <c r="J137" s="675"/>
      <c r="K137" s="24">
        <f t="shared" si="27"/>
        <v>1</v>
      </c>
      <c r="L137" s="675"/>
      <c r="M137" s="24">
        <f t="shared" si="28"/>
        <v>1</v>
      </c>
      <c r="N137" s="675"/>
      <c r="O137" s="24">
        <f t="shared" si="29"/>
        <v>1</v>
      </c>
      <c r="P137" s="675"/>
      <c r="Q137" s="24">
        <f t="shared" si="30"/>
        <v>1</v>
      </c>
      <c r="R137" s="671">
        <f t="shared" si="31"/>
        <v>0</v>
      </c>
      <c r="S137" s="321">
        <f t="shared" si="32"/>
        <v>0</v>
      </c>
    </row>
    <row r="138" spans="1:19">
      <c r="A138" s="154"/>
      <c r="B138" s="57"/>
      <c r="C138" s="24">
        <f t="shared" si="23"/>
        <v>1</v>
      </c>
      <c r="D138" s="675"/>
      <c r="E138" s="24">
        <f t="shared" si="24"/>
        <v>1</v>
      </c>
      <c r="F138" s="675"/>
      <c r="G138" s="24">
        <f t="shared" si="25"/>
        <v>1</v>
      </c>
      <c r="H138" s="675"/>
      <c r="I138" s="24">
        <f t="shared" si="26"/>
        <v>1</v>
      </c>
      <c r="J138" s="675"/>
      <c r="K138" s="24">
        <f t="shared" si="27"/>
        <v>1</v>
      </c>
      <c r="L138" s="675"/>
      <c r="M138" s="24">
        <f t="shared" si="28"/>
        <v>1</v>
      </c>
      <c r="N138" s="675"/>
      <c r="O138" s="24">
        <f t="shared" si="29"/>
        <v>1</v>
      </c>
      <c r="P138" s="675"/>
      <c r="Q138" s="24">
        <f t="shared" si="30"/>
        <v>1</v>
      </c>
      <c r="R138" s="671">
        <f t="shared" si="31"/>
        <v>0</v>
      </c>
      <c r="S138" s="321">
        <f t="shared" si="32"/>
        <v>0</v>
      </c>
    </row>
    <row r="139" spans="1:19">
      <c r="A139" s="154"/>
      <c r="B139" s="57"/>
      <c r="C139" s="24">
        <f t="shared" si="23"/>
        <v>1</v>
      </c>
      <c r="D139" s="675"/>
      <c r="E139" s="24">
        <f t="shared" si="24"/>
        <v>1</v>
      </c>
      <c r="F139" s="675"/>
      <c r="G139" s="24">
        <f t="shared" si="25"/>
        <v>1</v>
      </c>
      <c r="H139" s="675"/>
      <c r="I139" s="24">
        <f t="shared" si="26"/>
        <v>1</v>
      </c>
      <c r="J139" s="675"/>
      <c r="K139" s="24">
        <f t="shared" si="27"/>
        <v>1</v>
      </c>
      <c r="L139" s="675"/>
      <c r="M139" s="24">
        <f t="shared" si="28"/>
        <v>1</v>
      </c>
      <c r="N139" s="675"/>
      <c r="O139" s="24">
        <f t="shared" si="29"/>
        <v>1</v>
      </c>
      <c r="P139" s="675"/>
      <c r="Q139" s="24">
        <f t="shared" si="30"/>
        <v>1</v>
      </c>
      <c r="R139" s="671">
        <f t="shared" si="31"/>
        <v>0</v>
      </c>
      <c r="S139" s="321">
        <f t="shared" si="32"/>
        <v>0</v>
      </c>
    </row>
    <row r="140" spans="1:19">
      <c r="A140" s="154"/>
      <c r="B140" s="57"/>
      <c r="C140" s="24">
        <f t="shared" si="23"/>
        <v>1</v>
      </c>
      <c r="D140" s="675"/>
      <c r="E140" s="24">
        <f t="shared" si="24"/>
        <v>1</v>
      </c>
      <c r="F140" s="675"/>
      <c r="G140" s="24">
        <f t="shared" si="25"/>
        <v>1</v>
      </c>
      <c r="H140" s="675"/>
      <c r="I140" s="24">
        <f t="shared" si="26"/>
        <v>1</v>
      </c>
      <c r="J140" s="675"/>
      <c r="K140" s="24">
        <f t="shared" si="27"/>
        <v>1</v>
      </c>
      <c r="L140" s="675"/>
      <c r="M140" s="24">
        <f t="shared" si="28"/>
        <v>1</v>
      </c>
      <c r="N140" s="675"/>
      <c r="O140" s="24">
        <f t="shared" si="29"/>
        <v>1</v>
      </c>
      <c r="P140" s="675"/>
      <c r="Q140" s="24">
        <f t="shared" si="30"/>
        <v>1</v>
      </c>
      <c r="R140" s="671">
        <f t="shared" si="31"/>
        <v>0</v>
      </c>
      <c r="S140" s="321">
        <f t="shared" si="32"/>
        <v>0</v>
      </c>
    </row>
    <row r="141" spans="1:19">
      <c r="A141" s="154"/>
      <c r="B141" s="57"/>
      <c r="C141" s="24">
        <f t="shared" si="23"/>
        <v>1</v>
      </c>
      <c r="D141" s="675"/>
      <c r="E141" s="24">
        <f t="shared" si="24"/>
        <v>1</v>
      </c>
      <c r="F141" s="675"/>
      <c r="G141" s="24">
        <f t="shared" si="25"/>
        <v>1</v>
      </c>
      <c r="H141" s="675"/>
      <c r="I141" s="24">
        <f t="shared" si="26"/>
        <v>1</v>
      </c>
      <c r="J141" s="675"/>
      <c r="K141" s="24">
        <f t="shared" si="27"/>
        <v>1</v>
      </c>
      <c r="L141" s="675"/>
      <c r="M141" s="24">
        <f t="shared" si="28"/>
        <v>1</v>
      </c>
      <c r="N141" s="675"/>
      <c r="O141" s="24">
        <f t="shared" si="29"/>
        <v>1</v>
      </c>
      <c r="P141" s="675"/>
      <c r="Q141" s="24">
        <f t="shared" si="30"/>
        <v>1</v>
      </c>
      <c r="R141" s="671">
        <f t="shared" si="31"/>
        <v>0</v>
      </c>
      <c r="S141" s="321">
        <f t="shared" si="32"/>
        <v>0</v>
      </c>
    </row>
    <row r="142" spans="1:19">
      <c r="A142" s="154"/>
      <c r="B142" s="57"/>
      <c r="C142" s="24">
        <f t="shared" si="23"/>
        <v>1</v>
      </c>
      <c r="D142" s="675"/>
      <c r="E142" s="24">
        <f t="shared" si="24"/>
        <v>1</v>
      </c>
      <c r="F142" s="675"/>
      <c r="G142" s="24">
        <f t="shared" si="25"/>
        <v>1</v>
      </c>
      <c r="H142" s="675"/>
      <c r="I142" s="24">
        <f t="shared" si="26"/>
        <v>1</v>
      </c>
      <c r="J142" s="675"/>
      <c r="K142" s="24">
        <f t="shared" si="27"/>
        <v>1</v>
      </c>
      <c r="L142" s="675"/>
      <c r="M142" s="24">
        <f t="shared" si="28"/>
        <v>1</v>
      </c>
      <c r="N142" s="675"/>
      <c r="O142" s="24">
        <f t="shared" si="29"/>
        <v>1</v>
      </c>
      <c r="P142" s="675"/>
      <c r="Q142" s="24">
        <f t="shared" si="30"/>
        <v>1</v>
      </c>
      <c r="R142" s="671">
        <f t="shared" si="31"/>
        <v>0</v>
      </c>
      <c r="S142" s="321">
        <f t="shared" si="32"/>
        <v>0</v>
      </c>
    </row>
    <row r="143" spans="1:19">
      <c r="A143" s="154"/>
      <c r="B143" s="57"/>
      <c r="C143" s="24">
        <f t="shared" si="23"/>
        <v>1</v>
      </c>
      <c r="D143" s="675"/>
      <c r="E143" s="24">
        <f t="shared" si="24"/>
        <v>1</v>
      </c>
      <c r="F143" s="675"/>
      <c r="G143" s="24">
        <f t="shared" si="25"/>
        <v>1</v>
      </c>
      <c r="H143" s="675"/>
      <c r="I143" s="24">
        <f t="shared" si="26"/>
        <v>1</v>
      </c>
      <c r="J143" s="675"/>
      <c r="K143" s="24">
        <f t="shared" si="27"/>
        <v>1</v>
      </c>
      <c r="L143" s="675"/>
      <c r="M143" s="24">
        <f t="shared" si="28"/>
        <v>1</v>
      </c>
      <c r="N143" s="675"/>
      <c r="O143" s="24">
        <f t="shared" si="29"/>
        <v>1</v>
      </c>
      <c r="P143" s="675"/>
      <c r="Q143" s="24">
        <f t="shared" si="30"/>
        <v>1</v>
      </c>
      <c r="R143" s="671">
        <f t="shared" si="31"/>
        <v>0</v>
      </c>
      <c r="S143" s="321">
        <f t="shared" si="32"/>
        <v>0</v>
      </c>
    </row>
    <row r="144" spans="1:19">
      <c r="A144" s="154"/>
      <c r="B144" s="57"/>
      <c r="C144" s="24">
        <f t="shared" si="23"/>
        <v>1</v>
      </c>
      <c r="D144" s="675"/>
      <c r="E144" s="24">
        <f t="shared" si="24"/>
        <v>1</v>
      </c>
      <c r="F144" s="675"/>
      <c r="G144" s="24">
        <f t="shared" si="25"/>
        <v>1</v>
      </c>
      <c r="H144" s="675"/>
      <c r="I144" s="24">
        <f t="shared" si="26"/>
        <v>1</v>
      </c>
      <c r="J144" s="675"/>
      <c r="K144" s="24">
        <f t="shared" si="27"/>
        <v>1</v>
      </c>
      <c r="L144" s="675"/>
      <c r="M144" s="24">
        <f t="shared" si="28"/>
        <v>1</v>
      </c>
      <c r="N144" s="675"/>
      <c r="O144" s="24">
        <f t="shared" si="29"/>
        <v>1</v>
      </c>
      <c r="P144" s="675"/>
      <c r="Q144" s="24">
        <f t="shared" si="30"/>
        <v>1</v>
      </c>
      <c r="R144" s="671">
        <f t="shared" si="31"/>
        <v>0</v>
      </c>
      <c r="S144" s="321">
        <f t="shared" si="32"/>
        <v>0</v>
      </c>
    </row>
    <row r="145" spans="1:19">
      <c r="A145" s="154"/>
      <c r="B145" s="57"/>
      <c r="C145" s="24">
        <f t="shared" si="23"/>
        <v>1</v>
      </c>
      <c r="D145" s="675"/>
      <c r="E145" s="24">
        <f t="shared" si="24"/>
        <v>1</v>
      </c>
      <c r="F145" s="675"/>
      <c r="G145" s="24">
        <f t="shared" si="25"/>
        <v>1</v>
      </c>
      <c r="H145" s="675"/>
      <c r="I145" s="24">
        <f t="shared" si="26"/>
        <v>1</v>
      </c>
      <c r="J145" s="675"/>
      <c r="K145" s="24">
        <f t="shared" si="27"/>
        <v>1</v>
      </c>
      <c r="L145" s="675"/>
      <c r="M145" s="24">
        <f t="shared" si="28"/>
        <v>1</v>
      </c>
      <c r="N145" s="675"/>
      <c r="O145" s="24">
        <f t="shared" si="29"/>
        <v>1</v>
      </c>
      <c r="P145" s="675"/>
      <c r="Q145" s="24">
        <f t="shared" si="30"/>
        <v>1</v>
      </c>
      <c r="R145" s="671">
        <f t="shared" si="31"/>
        <v>0</v>
      </c>
      <c r="S145" s="321">
        <f t="shared" si="32"/>
        <v>0</v>
      </c>
    </row>
    <row r="146" spans="1:19">
      <c r="A146" s="154"/>
      <c r="B146" s="57"/>
      <c r="C146" s="24">
        <f t="shared" si="23"/>
        <v>1</v>
      </c>
      <c r="D146" s="675"/>
      <c r="E146" s="24">
        <f t="shared" si="24"/>
        <v>1</v>
      </c>
      <c r="F146" s="675"/>
      <c r="G146" s="24">
        <f t="shared" si="25"/>
        <v>1</v>
      </c>
      <c r="H146" s="675"/>
      <c r="I146" s="24">
        <f t="shared" si="26"/>
        <v>1</v>
      </c>
      <c r="J146" s="675"/>
      <c r="K146" s="24">
        <f t="shared" si="27"/>
        <v>1</v>
      </c>
      <c r="L146" s="675"/>
      <c r="M146" s="24">
        <f t="shared" si="28"/>
        <v>1</v>
      </c>
      <c r="N146" s="675"/>
      <c r="O146" s="24">
        <f t="shared" si="29"/>
        <v>1</v>
      </c>
      <c r="P146" s="675"/>
      <c r="Q146" s="24">
        <f t="shared" si="30"/>
        <v>1</v>
      </c>
      <c r="R146" s="671">
        <f t="shared" si="31"/>
        <v>0</v>
      </c>
      <c r="S146" s="321">
        <f t="shared" si="32"/>
        <v>0</v>
      </c>
    </row>
    <row r="147" spans="1:19">
      <c r="A147" s="154"/>
      <c r="B147" s="57"/>
      <c r="C147" s="24">
        <f t="shared" si="23"/>
        <v>1</v>
      </c>
      <c r="D147" s="675"/>
      <c r="E147" s="24">
        <f t="shared" si="24"/>
        <v>1</v>
      </c>
      <c r="F147" s="675"/>
      <c r="G147" s="24">
        <f t="shared" si="25"/>
        <v>1</v>
      </c>
      <c r="H147" s="675"/>
      <c r="I147" s="24">
        <f t="shared" si="26"/>
        <v>1</v>
      </c>
      <c r="J147" s="675"/>
      <c r="K147" s="24">
        <f t="shared" si="27"/>
        <v>1</v>
      </c>
      <c r="L147" s="675"/>
      <c r="M147" s="24">
        <f t="shared" si="28"/>
        <v>1</v>
      </c>
      <c r="N147" s="675"/>
      <c r="O147" s="24">
        <f t="shared" si="29"/>
        <v>1</v>
      </c>
      <c r="P147" s="675"/>
      <c r="Q147" s="24">
        <f t="shared" si="30"/>
        <v>1</v>
      </c>
      <c r="R147" s="671">
        <f t="shared" si="31"/>
        <v>0</v>
      </c>
      <c r="S147" s="321">
        <f t="shared" si="32"/>
        <v>0</v>
      </c>
    </row>
    <row r="148" spans="1:19">
      <c r="A148" s="154"/>
      <c r="B148" s="57"/>
      <c r="C148" s="24">
        <f t="shared" si="23"/>
        <v>1</v>
      </c>
      <c r="D148" s="675"/>
      <c r="E148" s="24">
        <f t="shared" si="24"/>
        <v>1</v>
      </c>
      <c r="F148" s="675"/>
      <c r="G148" s="24">
        <f t="shared" si="25"/>
        <v>1</v>
      </c>
      <c r="H148" s="675"/>
      <c r="I148" s="24">
        <f t="shared" si="26"/>
        <v>1</v>
      </c>
      <c r="J148" s="675"/>
      <c r="K148" s="24">
        <f t="shared" si="27"/>
        <v>1</v>
      </c>
      <c r="L148" s="675"/>
      <c r="M148" s="24">
        <f t="shared" si="28"/>
        <v>1</v>
      </c>
      <c r="N148" s="675"/>
      <c r="O148" s="24">
        <f t="shared" si="29"/>
        <v>1</v>
      </c>
      <c r="P148" s="675"/>
      <c r="Q148" s="24">
        <f t="shared" si="30"/>
        <v>1</v>
      </c>
      <c r="R148" s="671">
        <f t="shared" si="31"/>
        <v>0</v>
      </c>
      <c r="S148" s="321">
        <f t="shared" si="32"/>
        <v>0</v>
      </c>
    </row>
    <row r="149" spans="1:19">
      <c r="A149" s="154"/>
      <c r="B149" s="57"/>
      <c r="C149" s="24">
        <f t="shared" si="23"/>
        <v>1</v>
      </c>
      <c r="D149" s="675"/>
      <c r="E149" s="24">
        <f t="shared" si="24"/>
        <v>1</v>
      </c>
      <c r="F149" s="675"/>
      <c r="G149" s="24">
        <f t="shared" si="25"/>
        <v>1</v>
      </c>
      <c r="H149" s="675"/>
      <c r="I149" s="24">
        <f t="shared" si="26"/>
        <v>1</v>
      </c>
      <c r="J149" s="675"/>
      <c r="K149" s="24">
        <f t="shared" si="27"/>
        <v>1</v>
      </c>
      <c r="L149" s="675"/>
      <c r="M149" s="24">
        <f t="shared" si="28"/>
        <v>1</v>
      </c>
      <c r="N149" s="675"/>
      <c r="O149" s="24">
        <f t="shared" si="29"/>
        <v>1</v>
      </c>
      <c r="P149" s="675"/>
      <c r="Q149" s="24">
        <f t="shared" si="30"/>
        <v>1</v>
      </c>
      <c r="R149" s="671">
        <f t="shared" si="31"/>
        <v>0</v>
      </c>
      <c r="S149" s="321">
        <f t="shared" si="32"/>
        <v>0</v>
      </c>
    </row>
    <row r="150" spans="1:19">
      <c r="A150" s="154"/>
      <c r="B150" s="57"/>
      <c r="C150" s="24">
        <f t="shared" si="23"/>
        <v>1</v>
      </c>
      <c r="D150" s="675"/>
      <c r="E150" s="24">
        <f t="shared" si="24"/>
        <v>1</v>
      </c>
      <c r="F150" s="675"/>
      <c r="G150" s="24">
        <f t="shared" si="25"/>
        <v>1</v>
      </c>
      <c r="H150" s="675"/>
      <c r="I150" s="24">
        <f t="shared" si="26"/>
        <v>1</v>
      </c>
      <c r="J150" s="675"/>
      <c r="K150" s="24">
        <f t="shared" si="27"/>
        <v>1</v>
      </c>
      <c r="L150" s="675"/>
      <c r="M150" s="24">
        <f t="shared" si="28"/>
        <v>1</v>
      </c>
      <c r="N150" s="675"/>
      <c r="O150" s="24">
        <f t="shared" si="29"/>
        <v>1</v>
      </c>
      <c r="P150" s="675"/>
      <c r="Q150" s="24">
        <f t="shared" si="30"/>
        <v>1</v>
      </c>
      <c r="R150" s="671">
        <f t="shared" si="31"/>
        <v>0</v>
      </c>
      <c r="S150" s="321">
        <f t="shared" si="32"/>
        <v>0</v>
      </c>
    </row>
    <row r="151" spans="1:19">
      <c r="A151" s="154"/>
      <c r="B151" s="57"/>
      <c r="C151" s="24">
        <f t="shared" si="23"/>
        <v>1</v>
      </c>
      <c r="D151" s="675"/>
      <c r="E151" s="24">
        <f t="shared" si="24"/>
        <v>1</v>
      </c>
      <c r="F151" s="675"/>
      <c r="G151" s="24">
        <f t="shared" si="25"/>
        <v>1</v>
      </c>
      <c r="H151" s="675"/>
      <c r="I151" s="24">
        <f t="shared" si="26"/>
        <v>1</v>
      </c>
      <c r="J151" s="675"/>
      <c r="K151" s="24">
        <f t="shared" si="27"/>
        <v>1</v>
      </c>
      <c r="L151" s="675"/>
      <c r="M151" s="24">
        <f t="shared" si="28"/>
        <v>1</v>
      </c>
      <c r="N151" s="675"/>
      <c r="O151" s="24">
        <f t="shared" si="29"/>
        <v>1</v>
      </c>
      <c r="P151" s="675"/>
      <c r="Q151" s="24">
        <f t="shared" si="30"/>
        <v>1</v>
      </c>
      <c r="R151" s="671">
        <f t="shared" si="31"/>
        <v>0</v>
      </c>
      <c r="S151" s="321">
        <f t="shared" si="32"/>
        <v>0</v>
      </c>
    </row>
    <row r="152" spans="1:19">
      <c r="A152" s="154"/>
      <c r="B152" s="57"/>
      <c r="C152" s="24">
        <f t="shared" si="23"/>
        <v>1</v>
      </c>
      <c r="D152" s="675"/>
      <c r="E152" s="24">
        <f t="shared" si="24"/>
        <v>1</v>
      </c>
      <c r="F152" s="675"/>
      <c r="G152" s="24">
        <f t="shared" si="25"/>
        <v>1</v>
      </c>
      <c r="H152" s="675"/>
      <c r="I152" s="24">
        <f t="shared" si="26"/>
        <v>1</v>
      </c>
      <c r="J152" s="675"/>
      <c r="K152" s="24">
        <f t="shared" si="27"/>
        <v>1</v>
      </c>
      <c r="L152" s="675"/>
      <c r="M152" s="24">
        <f t="shared" si="28"/>
        <v>1</v>
      </c>
      <c r="N152" s="675"/>
      <c r="O152" s="24">
        <f t="shared" si="29"/>
        <v>1</v>
      </c>
      <c r="P152" s="675"/>
      <c r="Q152" s="24">
        <f t="shared" si="30"/>
        <v>1</v>
      </c>
      <c r="R152" s="671">
        <f t="shared" si="31"/>
        <v>0</v>
      </c>
      <c r="S152" s="321">
        <f t="shared" si="32"/>
        <v>0</v>
      </c>
    </row>
    <row r="153" spans="1:19">
      <c r="A153" s="154"/>
      <c r="B153" s="57"/>
      <c r="C153" s="24">
        <f t="shared" si="23"/>
        <v>1</v>
      </c>
      <c r="D153" s="675"/>
      <c r="E153" s="24">
        <f t="shared" si="24"/>
        <v>1</v>
      </c>
      <c r="F153" s="675"/>
      <c r="G153" s="24">
        <f t="shared" si="25"/>
        <v>1</v>
      </c>
      <c r="H153" s="675"/>
      <c r="I153" s="24">
        <f t="shared" si="26"/>
        <v>1</v>
      </c>
      <c r="J153" s="675"/>
      <c r="K153" s="24">
        <f t="shared" si="27"/>
        <v>1</v>
      </c>
      <c r="L153" s="675"/>
      <c r="M153" s="24">
        <f t="shared" si="28"/>
        <v>1</v>
      </c>
      <c r="N153" s="675"/>
      <c r="O153" s="24">
        <f t="shared" si="29"/>
        <v>1</v>
      </c>
      <c r="P153" s="675"/>
      <c r="Q153" s="24">
        <f t="shared" si="30"/>
        <v>1</v>
      </c>
      <c r="R153" s="671">
        <f t="shared" si="31"/>
        <v>0</v>
      </c>
      <c r="S153" s="321">
        <f t="shared" si="32"/>
        <v>0</v>
      </c>
    </row>
    <row r="154" spans="1:19">
      <c r="A154" s="154"/>
      <c r="B154" s="57"/>
      <c r="C154" s="24">
        <f t="shared" ref="C154:C217" si="33">IF(B154="",1,(LOOKUP(B154,$3:$3,$4:$4)-LOOKUP($B$24,$3:$3,$4:$4)+100)/100)</f>
        <v>1</v>
      </c>
      <c r="D154" s="675"/>
      <c r="E154" s="24">
        <f t="shared" ref="E154:E217" si="34">(SUMIF($5:$5,D154,$6:$6)-SUMIF($5:$5,$D$24,$6:$6)+100)/100</f>
        <v>1</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si="41">IF(B154="",0,ROUND($R$24*C154*E154*G154*I154*K154*M154*O154*Q154,0))</f>
        <v>0</v>
      </c>
      <c r="S154" s="321">
        <f t="shared" si="32"/>
        <v>0</v>
      </c>
    </row>
    <row r="155" spans="1:19">
      <c r="A155" s="154"/>
      <c r="B155" s="57"/>
      <c r="C155" s="24">
        <f t="shared" si="33"/>
        <v>1</v>
      </c>
      <c r="D155" s="675"/>
      <c r="E155" s="24">
        <f t="shared" si="34"/>
        <v>1</v>
      </c>
      <c r="F155" s="675"/>
      <c r="G155" s="24">
        <f t="shared" si="35"/>
        <v>1</v>
      </c>
      <c r="H155" s="675"/>
      <c r="I155" s="24">
        <f t="shared" si="36"/>
        <v>1</v>
      </c>
      <c r="J155" s="675"/>
      <c r="K155" s="24">
        <f t="shared" si="37"/>
        <v>1</v>
      </c>
      <c r="L155" s="675"/>
      <c r="M155" s="24">
        <f t="shared" si="38"/>
        <v>1</v>
      </c>
      <c r="N155" s="675"/>
      <c r="O155" s="24">
        <f t="shared" si="39"/>
        <v>1</v>
      </c>
      <c r="P155" s="675"/>
      <c r="Q155" s="24">
        <f t="shared" si="40"/>
        <v>1</v>
      </c>
      <c r="R155" s="671">
        <f t="shared" si="41"/>
        <v>0</v>
      </c>
      <c r="S155" s="321">
        <f t="shared" si="32"/>
        <v>0</v>
      </c>
    </row>
    <row r="156" spans="1:19">
      <c r="A156" s="154"/>
      <c r="B156" s="57"/>
      <c r="C156" s="24">
        <f t="shared" si="33"/>
        <v>1</v>
      </c>
      <c r="D156" s="675"/>
      <c r="E156" s="24">
        <f t="shared" si="34"/>
        <v>1</v>
      </c>
      <c r="F156" s="675"/>
      <c r="G156" s="24">
        <f t="shared" si="35"/>
        <v>1</v>
      </c>
      <c r="H156" s="675"/>
      <c r="I156" s="24">
        <f t="shared" si="36"/>
        <v>1</v>
      </c>
      <c r="J156" s="675"/>
      <c r="K156" s="24">
        <f t="shared" si="37"/>
        <v>1</v>
      </c>
      <c r="L156" s="675"/>
      <c r="M156" s="24">
        <f t="shared" si="38"/>
        <v>1</v>
      </c>
      <c r="N156" s="675"/>
      <c r="O156" s="24">
        <f t="shared" si="39"/>
        <v>1</v>
      </c>
      <c r="P156" s="675"/>
      <c r="Q156" s="24">
        <f t="shared" si="40"/>
        <v>1</v>
      </c>
      <c r="R156" s="671">
        <f t="shared" si="41"/>
        <v>0</v>
      </c>
      <c r="S156" s="321">
        <f t="shared" si="32"/>
        <v>0</v>
      </c>
    </row>
    <row r="157" spans="1:19">
      <c r="A157" s="154"/>
      <c r="B157" s="57"/>
      <c r="C157" s="24">
        <f t="shared" si="33"/>
        <v>1</v>
      </c>
      <c r="D157" s="675"/>
      <c r="E157" s="24">
        <f t="shared" si="34"/>
        <v>1</v>
      </c>
      <c r="F157" s="675"/>
      <c r="G157" s="24">
        <f t="shared" si="35"/>
        <v>1</v>
      </c>
      <c r="H157" s="675"/>
      <c r="I157" s="24">
        <f t="shared" si="36"/>
        <v>1</v>
      </c>
      <c r="J157" s="675"/>
      <c r="K157" s="24">
        <f t="shared" si="37"/>
        <v>1</v>
      </c>
      <c r="L157" s="675"/>
      <c r="M157" s="24">
        <f t="shared" si="38"/>
        <v>1</v>
      </c>
      <c r="N157" s="675"/>
      <c r="O157" s="24">
        <f t="shared" si="39"/>
        <v>1</v>
      </c>
      <c r="P157" s="675"/>
      <c r="Q157" s="24">
        <f t="shared" si="40"/>
        <v>1</v>
      </c>
      <c r="R157" s="671">
        <f t="shared" si="41"/>
        <v>0</v>
      </c>
      <c r="S157" s="321">
        <f t="shared" si="32"/>
        <v>0</v>
      </c>
    </row>
    <row r="158" spans="1:19">
      <c r="A158" s="154"/>
      <c r="B158" s="57"/>
      <c r="C158" s="24">
        <f t="shared" si="33"/>
        <v>1</v>
      </c>
      <c r="D158" s="675"/>
      <c r="E158" s="24">
        <f t="shared" si="34"/>
        <v>1</v>
      </c>
      <c r="F158" s="675"/>
      <c r="G158" s="24">
        <f t="shared" si="35"/>
        <v>1</v>
      </c>
      <c r="H158" s="675"/>
      <c r="I158" s="24">
        <f t="shared" si="36"/>
        <v>1</v>
      </c>
      <c r="J158" s="675"/>
      <c r="K158" s="24">
        <f t="shared" si="37"/>
        <v>1</v>
      </c>
      <c r="L158" s="675"/>
      <c r="M158" s="24">
        <f t="shared" si="38"/>
        <v>1</v>
      </c>
      <c r="N158" s="675"/>
      <c r="O158" s="24">
        <f t="shared" si="39"/>
        <v>1</v>
      </c>
      <c r="P158" s="675"/>
      <c r="Q158" s="24">
        <f t="shared" si="40"/>
        <v>1</v>
      </c>
      <c r="R158" s="671">
        <f t="shared" si="41"/>
        <v>0</v>
      </c>
      <c r="S158" s="321">
        <f t="shared" si="32"/>
        <v>0</v>
      </c>
    </row>
    <row r="159" spans="1:19">
      <c r="A159" s="154"/>
      <c r="B159" s="57"/>
      <c r="C159" s="24">
        <f t="shared" si="33"/>
        <v>1</v>
      </c>
      <c r="D159" s="675"/>
      <c r="E159" s="24">
        <f t="shared" si="34"/>
        <v>1</v>
      </c>
      <c r="F159" s="675"/>
      <c r="G159" s="24">
        <f t="shared" si="35"/>
        <v>1</v>
      </c>
      <c r="H159" s="675"/>
      <c r="I159" s="24">
        <f t="shared" si="36"/>
        <v>1</v>
      </c>
      <c r="J159" s="675"/>
      <c r="K159" s="24">
        <f t="shared" si="37"/>
        <v>1</v>
      </c>
      <c r="L159" s="675"/>
      <c r="M159" s="24">
        <f t="shared" si="38"/>
        <v>1</v>
      </c>
      <c r="N159" s="675"/>
      <c r="O159" s="24">
        <f t="shared" si="39"/>
        <v>1</v>
      </c>
      <c r="P159" s="675"/>
      <c r="Q159" s="24">
        <f t="shared" si="40"/>
        <v>1</v>
      </c>
      <c r="R159" s="671">
        <f t="shared" si="41"/>
        <v>0</v>
      </c>
      <c r="S159" s="321">
        <f t="shared" si="32"/>
        <v>0</v>
      </c>
    </row>
    <row r="160" spans="1:19">
      <c r="A160" s="154"/>
      <c r="B160" s="57"/>
      <c r="C160" s="24">
        <f t="shared" si="33"/>
        <v>1</v>
      </c>
      <c r="D160" s="675"/>
      <c r="E160" s="24">
        <f t="shared" si="34"/>
        <v>1</v>
      </c>
      <c r="F160" s="675"/>
      <c r="G160" s="24">
        <f t="shared" si="35"/>
        <v>1</v>
      </c>
      <c r="H160" s="675"/>
      <c r="I160" s="24">
        <f t="shared" si="36"/>
        <v>1</v>
      </c>
      <c r="J160" s="675"/>
      <c r="K160" s="24">
        <f t="shared" si="37"/>
        <v>1</v>
      </c>
      <c r="L160" s="675"/>
      <c r="M160" s="24">
        <f t="shared" si="38"/>
        <v>1</v>
      </c>
      <c r="N160" s="675"/>
      <c r="O160" s="24">
        <f t="shared" si="39"/>
        <v>1</v>
      </c>
      <c r="P160" s="675"/>
      <c r="Q160" s="24">
        <f t="shared" si="40"/>
        <v>1</v>
      </c>
      <c r="R160" s="671">
        <f t="shared" si="41"/>
        <v>0</v>
      </c>
      <c r="S160" s="321">
        <f t="shared" si="32"/>
        <v>0</v>
      </c>
    </row>
    <row r="161" spans="1:19">
      <c r="A161" s="154"/>
      <c r="B161" s="57"/>
      <c r="C161" s="24">
        <f t="shared" si="33"/>
        <v>1</v>
      </c>
      <c r="D161" s="675"/>
      <c r="E161" s="24">
        <f t="shared" si="34"/>
        <v>1</v>
      </c>
      <c r="F161" s="675"/>
      <c r="G161" s="24">
        <f t="shared" si="35"/>
        <v>1</v>
      </c>
      <c r="H161" s="675"/>
      <c r="I161" s="24">
        <f t="shared" si="36"/>
        <v>1</v>
      </c>
      <c r="J161" s="675"/>
      <c r="K161" s="24">
        <f t="shared" si="37"/>
        <v>1</v>
      </c>
      <c r="L161" s="675"/>
      <c r="M161" s="24">
        <f t="shared" si="38"/>
        <v>1</v>
      </c>
      <c r="N161" s="675"/>
      <c r="O161" s="24">
        <f t="shared" si="39"/>
        <v>1</v>
      </c>
      <c r="P161" s="675"/>
      <c r="Q161" s="24">
        <f t="shared" si="40"/>
        <v>1</v>
      </c>
      <c r="R161" s="671">
        <f t="shared" si="41"/>
        <v>0</v>
      </c>
      <c r="S161" s="321">
        <f t="shared" si="32"/>
        <v>0</v>
      </c>
    </row>
    <row r="162" spans="1:19">
      <c r="A162" s="154"/>
      <c r="B162" s="57"/>
      <c r="C162" s="24">
        <f t="shared" si="33"/>
        <v>1</v>
      </c>
      <c r="D162" s="675"/>
      <c r="E162" s="24">
        <f t="shared" si="34"/>
        <v>1</v>
      </c>
      <c r="F162" s="675"/>
      <c r="G162" s="24">
        <f t="shared" si="35"/>
        <v>1</v>
      </c>
      <c r="H162" s="675"/>
      <c r="I162" s="24">
        <f t="shared" si="36"/>
        <v>1</v>
      </c>
      <c r="J162" s="675"/>
      <c r="K162" s="24">
        <f t="shared" si="37"/>
        <v>1</v>
      </c>
      <c r="L162" s="675"/>
      <c r="M162" s="24">
        <f t="shared" si="38"/>
        <v>1</v>
      </c>
      <c r="N162" s="675"/>
      <c r="O162" s="24">
        <f t="shared" si="39"/>
        <v>1</v>
      </c>
      <c r="P162" s="675"/>
      <c r="Q162" s="24">
        <f t="shared" si="40"/>
        <v>1</v>
      </c>
      <c r="R162" s="671">
        <f t="shared" si="41"/>
        <v>0</v>
      </c>
      <c r="S162" s="321">
        <f t="shared" si="32"/>
        <v>0</v>
      </c>
    </row>
    <row r="163" spans="1:19">
      <c r="A163" s="154"/>
      <c r="B163" s="57"/>
      <c r="C163" s="24">
        <f t="shared" si="33"/>
        <v>1</v>
      </c>
      <c r="D163" s="675"/>
      <c r="E163" s="24">
        <f t="shared" si="34"/>
        <v>1</v>
      </c>
      <c r="F163" s="675"/>
      <c r="G163" s="24">
        <f t="shared" si="35"/>
        <v>1</v>
      </c>
      <c r="H163" s="675"/>
      <c r="I163" s="24">
        <f t="shared" si="36"/>
        <v>1</v>
      </c>
      <c r="J163" s="675"/>
      <c r="K163" s="24">
        <f t="shared" si="37"/>
        <v>1</v>
      </c>
      <c r="L163" s="675"/>
      <c r="M163" s="24">
        <f t="shared" si="38"/>
        <v>1</v>
      </c>
      <c r="N163" s="675"/>
      <c r="O163" s="24">
        <f t="shared" si="39"/>
        <v>1</v>
      </c>
      <c r="P163" s="675"/>
      <c r="Q163" s="24">
        <f t="shared" si="40"/>
        <v>1</v>
      </c>
      <c r="R163" s="671">
        <f t="shared" si="41"/>
        <v>0</v>
      </c>
      <c r="S163" s="321">
        <f t="shared" si="32"/>
        <v>0</v>
      </c>
    </row>
    <row r="164" spans="1:19">
      <c r="A164" s="154"/>
      <c r="B164" s="57"/>
      <c r="C164" s="24">
        <f t="shared" si="33"/>
        <v>1</v>
      </c>
      <c r="D164" s="675"/>
      <c r="E164" s="24">
        <f t="shared" si="34"/>
        <v>1</v>
      </c>
      <c r="F164" s="675"/>
      <c r="G164" s="24">
        <f t="shared" si="35"/>
        <v>1</v>
      </c>
      <c r="H164" s="675"/>
      <c r="I164" s="24">
        <f t="shared" si="36"/>
        <v>1</v>
      </c>
      <c r="J164" s="675"/>
      <c r="K164" s="24">
        <f t="shared" si="37"/>
        <v>1</v>
      </c>
      <c r="L164" s="675"/>
      <c r="M164" s="24">
        <f t="shared" si="38"/>
        <v>1</v>
      </c>
      <c r="N164" s="675"/>
      <c r="O164" s="24">
        <f t="shared" si="39"/>
        <v>1</v>
      </c>
      <c r="P164" s="675"/>
      <c r="Q164" s="24">
        <f t="shared" si="40"/>
        <v>1</v>
      </c>
      <c r="R164" s="671">
        <f t="shared" si="41"/>
        <v>0</v>
      </c>
      <c r="S164" s="321">
        <f t="shared" si="32"/>
        <v>0</v>
      </c>
    </row>
    <row r="165" spans="1:19">
      <c r="A165" s="154"/>
      <c r="B165" s="57"/>
      <c r="C165" s="24">
        <f t="shared" si="33"/>
        <v>1</v>
      </c>
      <c r="D165" s="675"/>
      <c r="E165" s="24">
        <f t="shared" si="34"/>
        <v>1</v>
      </c>
      <c r="F165" s="675"/>
      <c r="G165" s="24">
        <f t="shared" si="35"/>
        <v>1</v>
      </c>
      <c r="H165" s="675"/>
      <c r="I165" s="24">
        <f t="shared" si="36"/>
        <v>1</v>
      </c>
      <c r="J165" s="675"/>
      <c r="K165" s="24">
        <f t="shared" si="37"/>
        <v>1</v>
      </c>
      <c r="L165" s="675"/>
      <c r="M165" s="24">
        <f t="shared" si="38"/>
        <v>1</v>
      </c>
      <c r="N165" s="675"/>
      <c r="O165" s="24">
        <f t="shared" si="39"/>
        <v>1</v>
      </c>
      <c r="P165" s="675"/>
      <c r="Q165" s="24">
        <f t="shared" si="40"/>
        <v>1</v>
      </c>
      <c r="R165" s="671">
        <f t="shared" si="41"/>
        <v>0</v>
      </c>
      <c r="S165" s="321">
        <f t="shared" si="32"/>
        <v>0</v>
      </c>
    </row>
    <row r="166" spans="1:19">
      <c r="A166" s="154"/>
      <c r="B166" s="57"/>
      <c r="C166" s="24">
        <f t="shared" si="33"/>
        <v>1</v>
      </c>
      <c r="D166" s="675"/>
      <c r="E166" s="24">
        <f t="shared" si="34"/>
        <v>1</v>
      </c>
      <c r="F166" s="675"/>
      <c r="G166" s="24">
        <f t="shared" si="35"/>
        <v>1</v>
      </c>
      <c r="H166" s="675"/>
      <c r="I166" s="24">
        <f t="shared" si="36"/>
        <v>1</v>
      </c>
      <c r="J166" s="675"/>
      <c r="K166" s="24">
        <f t="shared" si="37"/>
        <v>1</v>
      </c>
      <c r="L166" s="675"/>
      <c r="M166" s="24">
        <f t="shared" si="38"/>
        <v>1</v>
      </c>
      <c r="N166" s="675"/>
      <c r="O166" s="24">
        <f t="shared" si="39"/>
        <v>1</v>
      </c>
      <c r="P166" s="675"/>
      <c r="Q166" s="24">
        <f t="shared" si="40"/>
        <v>1</v>
      </c>
      <c r="R166" s="671">
        <f t="shared" si="41"/>
        <v>0</v>
      </c>
      <c r="S166" s="321">
        <f t="shared" si="32"/>
        <v>0</v>
      </c>
    </row>
    <row r="167" spans="1:19">
      <c r="A167" s="154"/>
      <c r="B167" s="57"/>
      <c r="C167" s="24">
        <f t="shared" si="33"/>
        <v>1</v>
      </c>
      <c r="D167" s="675"/>
      <c r="E167" s="24">
        <f t="shared" si="34"/>
        <v>1</v>
      </c>
      <c r="F167" s="675"/>
      <c r="G167" s="24">
        <f t="shared" si="35"/>
        <v>1</v>
      </c>
      <c r="H167" s="675"/>
      <c r="I167" s="24">
        <f t="shared" si="36"/>
        <v>1</v>
      </c>
      <c r="J167" s="675"/>
      <c r="K167" s="24">
        <f t="shared" si="37"/>
        <v>1</v>
      </c>
      <c r="L167" s="675"/>
      <c r="M167" s="24">
        <f t="shared" si="38"/>
        <v>1</v>
      </c>
      <c r="N167" s="675"/>
      <c r="O167" s="24">
        <f t="shared" si="39"/>
        <v>1</v>
      </c>
      <c r="P167" s="675"/>
      <c r="Q167" s="24">
        <f t="shared" si="40"/>
        <v>1</v>
      </c>
      <c r="R167" s="671">
        <f t="shared" si="41"/>
        <v>0</v>
      </c>
      <c r="S167" s="321">
        <f t="shared" si="32"/>
        <v>0</v>
      </c>
    </row>
    <row r="168" spans="1:19">
      <c r="A168" s="154"/>
      <c r="B168" s="57"/>
      <c r="C168" s="24">
        <f t="shared" si="33"/>
        <v>1</v>
      </c>
      <c r="D168" s="675"/>
      <c r="E168" s="24">
        <f t="shared" si="34"/>
        <v>1</v>
      </c>
      <c r="F168" s="675"/>
      <c r="G168" s="24">
        <f t="shared" si="35"/>
        <v>1</v>
      </c>
      <c r="H168" s="675"/>
      <c r="I168" s="24">
        <f t="shared" si="36"/>
        <v>1</v>
      </c>
      <c r="J168" s="675"/>
      <c r="K168" s="24">
        <f t="shared" si="37"/>
        <v>1</v>
      </c>
      <c r="L168" s="675"/>
      <c r="M168" s="24">
        <f t="shared" si="38"/>
        <v>1</v>
      </c>
      <c r="N168" s="675"/>
      <c r="O168" s="24">
        <f t="shared" si="39"/>
        <v>1</v>
      </c>
      <c r="P168" s="675"/>
      <c r="Q168" s="24">
        <f t="shared" si="40"/>
        <v>1</v>
      </c>
      <c r="R168" s="671">
        <f t="shared" si="41"/>
        <v>0</v>
      </c>
      <c r="S168" s="321">
        <f t="shared" si="32"/>
        <v>0</v>
      </c>
    </row>
    <row r="169" spans="1:19">
      <c r="A169" s="154"/>
      <c r="B169" s="57"/>
      <c r="C169" s="24">
        <f t="shared" si="33"/>
        <v>1</v>
      </c>
      <c r="D169" s="675"/>
      <c r="E169" s="24">
        <f t="shared" si="34"/>
        <v>1</v>
      </c>
      <c r="F169" s="675"/>
      <c r="G169" s="24">
        <f t="shared" si="35"/>
        <v>1</v>
      </c>
      <c r="H169" s="675"/>
      <c r="I169" s="24">
        <f t="shared" si="36"/>
        <v>1</v>
      </c>
      <c r="J169" s="675"/>
      <c r="K169" s="24">
        <f t="shared" si="37"/>
        <v>1</v>
      </c>
      <c r="L169" s="675"/>
      <c r="M169" s="24">
        <f t="shared" si="38"/>
        <v>1</v>
      </c>
      <c r="N169" s="675"/>
      <c r="O169" s="24">
        <f t="shared" si="39"/>
        <v>1</v>
      </c>
      <c r="P169" s="675"/>
      <c r="Q169" s="24">
        <f t="shared" si="40"/>
        <v>1</v>
      </c>
      <c r="R169" s="671">
        <f t="shared" si="41"/>
        <v>0</v>
      </c>
      <c r="S169" s="321">
        <f t="shared" si="32"/>
        <v>0</v>
      </c>
    </row>
    <row r="170" spans="1:19">
      <c r="A170" s="154"/>
      <c r="B170" s="57"/>
      <c r="C170" s="24">
        <f t="shared" si="33"/>
        <v>1</v>
      </c>
      <c r="D170" s="675"/>
      <c r="E170" s="24">
        <f t="shared" si="34"/>
        <v>1</v>
      </c>
      <c r="F170" s="675"/>
      <c r="G170" s="24">
        <f t="shared" si="35"/>
        <v>1</v>
      </c>
      <c r="H170" s="675"/>
      <c r="I170" s="24">
        <f t="shared" si="36"/>
        <v>1</v>
      </c>
      <c r="J170" s="675"/>
      <c r="K170" s="24">
        <f t="shared" si="37"/>
        <v>1</v>
      </c>
      <c r="L170" s="675"/>
      <c r="M170" s="24">
        <f t="shared" si="38"/>
        <v>1</v>
      </c>
      <c r="N170" s="675"/>
      <c r="O170" s="24">
        <f t="shared" si="39"/>
        <v>1</v>
      </c>
      <c r="P170" s="675"/>
      <c r="Q170" s="24">
        <f t="shared" si="40"/>
        <v>1</v>
      </c>
      <c r="R170" s="671">
        <f t="shared" si="41"/>
        <v>0</v>
      </c>
      <c r="S170" s="321">
        <f t="shared" si="32"/>
        <v>0</v>
      </c>
    </row>
    <row r="171" spans="1:19">
      <c r="A171" s="154"/>
      <c r="B171" s="57"/>
      <c r="C171" s="24">
        <f t="shared" si="33"/>
        <v>1</v>
      </c>
      <c r="D171" s="675"/>
      <c r="E171" s="24">
        <f t="shared" si="34"/>
        <v>1</v>
      </c>
      <c r="F171" s="675"/>
      <c r="G171" s="24">
        <f t="shared" si="35"/>
        <v>1</v>
      </c>
      <c r="H171" s="675"/>
      <c r="I171" s="24">
        <f t="shared" si="36"/>
        <v>1</v>
      </c>
      <c r="J171" s="675"/>
      <c r="K171" s="24">
        <f t="shared" si="37"/>
        <v>1</v>
      </c>
      <c r="L171" s="675"/>
      <c r="M171" s="24">
        <f t="shared" si="38"/>
        <v>1</v>
      </c>
      <c r="N171" s="675"/>
      <c r="O171" s="24">
        <f t="shared" si="39"/>
        <v>1</v>
      </c>
      <c r="P171" s="675"/>
      <c r="Q171" s="24">
        <f t="shared" si="40"/>
        <v>1</v>
      </c>
      <c r="R171" s="671">
        <f t="shared" si="41"/>
        <v>0</v>
      </c>
      <c r="S171" s="321">
        <f t="shared" si="32"/>
        <v>0</v>
      </c>
    </row>
    <row r="172" spans="1:19">
      <c r="A172" s="154"/>
      <c r="B172" s="57"/>
      <c r="C172" s="24">
        <f t="shared" si="33"/>
        <v>1</v>
      </c>
      <c r="D172" s="675"/>
      <c r="E172" s="24">
        <f t="shared" si="34"/>
        <v>1</v>
      </c>
      <c r="F172" s="675"/>
      <c r="G172" s="24">
        <f t="shared" si="35"/>
        <v>1</v>
      </c>
      <c r="H172" s="675"/>
      <c r="I172" s="24">
        <f t="shared" si="36"/>
        <v>1</v>
      </c>
      <c r="J172" s="675"/>
      <c r="K172" s="24">
        <f t="shared" si="37"/>
        <v>1</v>
      </c>
      <c r="L172" s="675"/>
      <c r="M172" s="24">
        <f t="shared" si="38"/>
        <v>1</v>
      </c>
      <c r="N172" s="675"/>
      <c r="O172" s="24">
        <f t="shared" si="39"/>
        <v>1</v>
      </c>
      <c r="P172" s="675"/>
      <c r="Q172" s="24">
        <f t="shared" si="40"/>
        <v>1</v>
      </c>
      <c r="R172" s="671">
        <f t="shared" si="41"/>
        <v>0</v>
      </c>
      <c r="S172" s="321">
        <f t="shared" si="32"/>
        <v>0</v>
      </c>
    </row>
    <row r="173" spans="1:19">
      <c r="A173" s="154"/>
      <c r="B173" s="57"/>
      <c r="C173" s="24">
        <f t="shared" si="33"/>
        <v>1</v>
      </c>
      <c r="D173" s="675"/>
      <c r="E173" s="24">
        <f t="shared" si="34"/>
        <v>1</v>
      </c>
      <c r="F173" s="675"/>
      <c r="G173" s="24">
        <f t="shared" si="35"/>
        <v>1</v>
      </c>
      <c r="H173" s="675"/>
      <c r="I173" s="24">
        <f t="shared" si="36"/>
        <v>1</v>
      </c>
      <c r="J173" s="675"/>
      <c r="K173" s="24">
        <f t="shared" si="37"/>
        <v>1</v>
      </c>
      <c r="L173" s="675"/>
      <c r="M173" s="24">
        <f t="shared" si="38"/>
        <v>1</v>
      </c>
      <c r="N173" s="675"/>
      <c r="O173" s="24">
        <f t="shared" si="39"/>
        <v>1</v>
      </c>
      <c r="P173" s="675"/>
      <c r="Q173" s="24">
        <f t="shared" si="40"/>
        <v>1</v>
      </c>
      <c r="R173" s="671">
        <f t="shared" si="41"/>
        <v>0</v>
      </c>
      <c r="S173" s="321">
        <f t="shared" si="32"/>
        <v>0</v>
      </c>
    </row>
    <row r="174" spans="1:19">
      <c r="A174" s="154"/>
      <c r="B174" s="57"/>
      <c r="C174" s="24">
        <f t="shared" si="33"/>
        <v>1</v>
      </c>
      <c r="D174" s="675"/>
      <c r="E174" s="24">
        <f t="shared" si="34"/>
        <v>1</v>
      </c>
      <c r="F174" s="675"/>
      <c r="G174" s="24">
        <f t="shared" si="35"/>
        <v>1</v>
      </c>
      <c r="H174" s="675"/>
      <c r="I174" s="24">
        <f t="shared" si="36"/>
        <v>1</v>
      </c>
      <c r="J174" s="675"/>
      <c r="K174" s="24">
        <f t="shared" si="37"/>
        <v>1</v>
      </c>
      <c r="L174" s="675"/>
      <c r="M174" s="24">
        <f t="shared" si="38"/>
        <v>1</v>
      </c>
      <c r="N174" s="675"/>
      <c r="O174" s="24">
        <f t="shared" si="39"/>
        <v>1</v>
      </c>
      <c r="P174" s="675"/>
      <c r="Q174" s="24">
        <f t="shared" si="40"/>
        <v>1</v>
      </c>
      <c r="R174" s="671">
        <f t="shared" si="41"/>
        <v>0</v>
      </c>
      <c r="S174" s="321">
        <f t="shared" si="32"/>
        <v>0</v>
      </c>
    </row>
    <row r="175" spans="1:19">
      <c r="A175" s="154"/>
      <c r="B175" s="57"/>
      <c r="C175" s="24">
        <f t="shared" si="33"/>
        <v>1</v>
      </c>
      <c r="D175" s="675"/>
      <c r="E175" s="24">
        <f t="shared" si="34"/>
        <v>1</v>
      </c>
      <c r="F175" s="675"/>
      <c r="G175" s="24">
        <f t="shared" si="35"/>
        <v>1</v>
      </c>
      <c r="H175" s="675"/>
      <c r="I175" s="24">
        <f t="shared" si="36"/>
        <v>1</v>
      </c>
      <c r="J175" s="675"/>
      <c r="K175" s="24">
        <f t="shared" si="37"/>
        <v>1</v>
      </c>
      <c r="L175" s="675"/>
      <c r="M175" s="24">
        <f t="shared" si="38"/>
        <v>1</v>
      </c>
      <c r="N175" s="675"/>
      <c r="O175" s="24">
        <f t="shared" si="39"/>
        <v>1</v>
      </c>
      <c r="P175" s="675"/>
      <c r="Q175" s="24">
        <f t="shared" si="40"/>
        <v>1</v>
      </c>
      <c r="R175" s="671">
        <f t="shared" si="41"/>
        <v>0</v>
      </c>
      <c r="S175" s="321">
        <f t="shared" si="32"/>
        <v>0</v>
      </c>
    </row>
    <row r="176" spans="1:19">
      <c r="A176" s="154"/>
      <c r="B176" s="57"/>
      <c r="C176" s="24">
        <f t="shared" si="33"/>
        <v>1</v>
      </c>
      <c r="D176" s="675"/>
      <c r="E176" s="24">
        <f t="shared" si="34"/>
        <v>1</v>
      </c>
      <c r="F176" s="675"/>
      <c r="G176" s="24">
        <f t="shared" si="35"/>
        <v>1</v>
      </c>
      <c r="H176" s="675"/>
      <c r="I176" s="24">
        <f t="shared" si="36"/>
        <v>1</v>
      </c>
      <c r="J176" s="675"/>
      <c r="K176" s="24">
        <f t="shared" si="37"/>
        <v>1</v>
      </c>
      <c r="L176" s="675"/>
      <c r="M176" s="24">
        <f t="shared" si="38"/>
        <v>1</v>
      </c>
      <c r="N176" s="675"/>
      <c r="O176" s="24">
        <f t="shared" si="39"/>
        <v>1</v>
      </c>
      <c r="P176" s="675"/>
      <c r="Q176" s="24">
        <f t="shared" si="40"/>
        <v>1</v>
      </c>
      <c r="R176" s="671">
        <f t="shared" si="41"/>
        <v>0</v>
      </c>
      <c r="S176" s="321">
        <f t="shared" si="32"/>
        <v>0</v>
      </c>
    </row>
    <row r="177" spans="1:19">
      <c r="A177" s="154"/>
      <c r="B177" s="57"/>
      <c r="C177" s="24">
        <f t="shared" si="33"/>
        <v>1</v>
      </c>
      <c r="D177" s="675"/>
      <c r="E177" s="24">
        <f t="shared" si="34"/>
        <v>1</v>
      </c>
      <c r="F177" s="675"/>
      <c r="G177" s="24">
        <f t="shared" si="35"/>
        <v>1</v>
      </c>
      <c r="H177" s="675"/>
      <c r="I177" s="24">
        <f t="shared" si="36"/>
        <v>1</v>
      </c>
      <c r="J177" s="675"/>
      <c r="K177" s="24">
        <f t="shared" si="37"/>
        <v>1</v>
      </c>
      <c r="L177" s="675"/>
      <c r="M177" s="24">
        <f t="shared" si="38"/>
        <v>1</v>
      </c>
      <c r="N177" s="675"/>
      <c r="O177" s="24">
        <f t="shared" si="39"/>
        <v>1</v>
      </c>
      <c r="P177" s="675"/>
      <c r="Q177" s="24">
        <f t="shared" si="40"/>
        <v>1</v>
      </c>
      <c r="R177" s="671">
        <f t="shared" si="41"/>
        <v>0</v>
      </c>
      <c r="S177" s="321">
        <f t="shared" si="32"/>
        <v>0</v>
      </c>
    </row>
    <row r="178" spans="1:19">
      <c r="A178" s="154"/>
      <c r="B178" s="57"/>
      <c r="C178" s="24">
        <f t="shared" si="33"/>
        <v>1</v>
      </c>
      <c r="D178" s="675"/>
      <c r="E178" s="24">
        <f t="shared" si="34"/>
        <v>1</v>
      </c>
      <c r="F178" s="675"/>
      <c r="G178" s="24">
        <f t="shared" si="35"/>
        <v>1</v>
      </c>
      <c r="H178" s="675"/>
      <c r="I178" s="24">
        <f t="shared" si="36"/>
        <v>1</v>
      </c>
      <c r="J178" s="675"/>
      <c r="K178" s="24">
        <f t="shared" si="37"/>
        <v>1</v>
      </c>
      <c r="L178" s="675"/>
      <c r="M178" s="24">
        <f t="shared" si="38"/>
        <v>1</v>
      </c>
      <c r="N178" s="675"/>
      <c r="O178" s="24">
        <f t="shared" si="39"/>
        <v>1</v>
      </c>
      <c r="P178" s="675"/>
      <c r="Q178" s="24">
        <f t="shared" si="40"/>
        <v>1</v>
      </c>
      <c r="R178" s="671">
        <f t="shared" si="41"/>
        <v>0</v>
      </c>
      <c r="S178" s="321">
        <f t="shared" si="32"/>
        <v>0</v>
      </c>
    </row>
    <row r="179" spans="1:19">
      <c r="A179" s="154"/>
      <c r="B179" s="57"/>
      <c r="C179" s="24">
        <f t="shared" si="33"/>
        <v>1</v>
      </c>
      <c r="D179" s="675"/>
      <c r="E179" s="24">
        <f t="shared" si="34"/>
        <v>1</v>
      </c>
      <c r="F179" s="675"/>
      <c r="G179" s="24">
        <f t="shared" si="35"/>
        <v>1</v>
      </c>
      <c r="H179" s="675"/>
      <c r="I179" s="24">
        <f t="shared" si="36"/>
        <v>1</v>
      </c>
      <c r="J179" s="675"/>
      <c r="K179" s="24">
        <f t="shared" si="37"/>
        <v>1</v>
      </c>
      <c r="L179" s="675"/>
      <c r="M179" s="24">
        <f t="shared" si="38"/>
        <v>1</v>
      </c>
      <c r="N179" s="675"/>
      <c r="O179" s="24">
        <f t="shared" si="39"/>
        <v>1</v>
      </c>
      <c r="P179" s="675"/>
      <c r="Q179" s="24">
        <f t="shared" si="40"/>
        <v>1</v>
      </c>
      <c r="R179" s="671">
        <f t="shared" si="41"/>
        <v>0</v>
      </c>
      <c r="S179" s="321">
        <f t="shared" si="32"/>
        <v>0</v>
      </c>
    </row>
    <row r="180" spans="1:19">
      <c r="A180" s="154"/>
      <c r="B180" s="57"/>
      <c r="C180" s="24">
        <f t="shared" si="33"/>
        <v>1</v>
      </c>
      <c r="D180" s="675"/>
      <c r="E180" s="24">
        <f t="shared" si="34"/>
        <v>1</v>
      </c>
      <c r="F180" s="675"/>
      <c r="G180" s="24">
        <f t="shared" si="35"/>
        <v>1</v>
      </c>
      <c r="H180" s="675"/>
      <c r="I180" s="24">
        <f t="shared" si="36"/>
        <v>1</v>
      </c>
      <c r="J180" s="675"/>
      <c r="K180" s="24">
        <f t="shared" si="37"/>
        <v>1</v>
      </c>
      <c r="L180" s="675"/>
      <c r="M180" s="24">
        <f t="shared" si="38"/>
        <v>1</v>
      </c>
      <c r="N180" s="675"/>
      <c r="O180" s="24">
        <f t="shared" si="39"/>
        <v>1</v>
      </c>
      <c r="P180" s="675"/>
      <c r="Q180" s="24">
        <f t="shared" si="40"/>
        <v>1</v>
      </c>
      <c r="R180" s="671">
        <f t="shared" si="41"/>
        <v>0</v>
      </c>
      <c r="S180" s="321">
        <f t="shared" si="32"/>
        <v>0</v>
      </c>
    </row>
    <row r="181" spans="1:19">
      <c r="A181" s="154"/>
      <c r="B181" s="57"/>
      <c r="C181" s="24">
        <f t="shared" si="33"/>
        <v>1</v>
      </c>
      <c r="D181" s="675"/>
      <c r="E181" s="24">
        <f t="shared" si="34"/>
        <v>1</v>
      </c>
      <c r="F181" s="675"/>
      <c r="G181" s="24">
        <f t="shared" si="35"/>
        <v>1</v>
      </c>
      <c r="H181" s="675"/>
      <c r="I181" s="24">
        <f t="shared" si="36"/>
        <v>1</v>
      </c>
      <c r="J181" s="675"/>
      <c r="K181" s="24">
        <f t="shared" si="37"/>
        <v>1</v>
      </c>
      <c r="L181" s="675"/>
      <c r="M181" s="24">
        <f t="shared" si="38"/>
        <v>1</v>
      </c>
      <c r="N181" s="675"/>
      <c r="O181" s="24">
        <f t="shared" si="39"/>
        <v>1</v>
      </c>
      <c r="P181" s="675"/>
      <c r="Q181" s="24">
        <f t="shared" si="40"/>
        <v>1</v>
      </c>
      <c r="R181" s="671">
        <f t="shared" si="41"/>
        <v>0</v>
      </c>
      <c r="S181" s="321">
        <f t="shared" si="32"/>
        <v>0</v>
      </c>
    </row>
    <row r="182" spans="1:19">
      <c r="A182" s="154"/>
      <c r="B182" s="57"/>
      <c r="C182" s="24">
        <f t="shared" si="33"/>
        <v>1</v>
      </c>
      <c r="D182" s="675"/>
      <c r="E182" s="24">
        <f t="shared" si="34"/>
        <v>1</v>
      </c>
      <c r="F182" s="675"/>
      <c r="G182" s="24">
        <f t="shared" si="35"/>
        <v>1</v>
      </c>
      <c r="H182" s="675"/>
      <c r="I182" s="24">
        <f t="shared" si="36"/>
        <v>1</v>
      </c>
      <c r="J182" s="675"/>
      <c r="K182" s="24">
        <f t="shared" si="37"/>
        <v>1</v>
      </c>
      <c r="L182" s="675"/>
      <c r="M182" s="24">
        <f t="shared" si="38"/>
        <v>1</v>
      </c>
      <c r="N182" s="675"/>
      <c r="O182" s="24">
        <f t="shared" si="39"/>
        <v>1</v>
      </c>
      <c r="P182" s="675"/>
      <c r="Q182" s="24">
        <f t="shared" si="40"/>
        <v>1</v>
      </c>
      <c r="R182" s="671">
        <f t="shared" si="41"/>
        <v>0</v>
      </c>
      <c r="S182" s="321">
        <f t="shared" si="32"/>
        <v>0</v>
      </c>
    </row>
    <row r="183" spans="1:19">
      <c r="A183" s="154"/>
      <c r="B183" s="57"/>
      <c r="C183" s="24">
        <f t="shared" si="33"/>
        <v>1</v>
      </c>
      <c r="D183" s="675"/>
      <c r="E183" s="24">
        <f t="shared" si="34"/>
        <v>1</v>
      </c>
      <c r="F183" s="675"/>
      <c r="G183" s="24">
        <f t="shared" si="35"/>
        <v>1</v>
      </c>
      <c r="H183" s="675"/>
      <c r="I183" s="24">
        <f t="shared" si="36"/>
        <v>1</v>
      </c>
      <c r="J183" s="675"/>
      <c r="K183" s="24">
        <f t="shared" si="37"/>
        <v>1</v>
      </c>
      <c r="L183" s="675"/>
      <c r="M183" s="24">
        <f t="shared" si="38"/>
        <v>1</v>
      </c>
      <c r="N183" s="675"/>
      <c r="O183" s="24">
        <f t="shared" si="39"/>
        <v>1</v>
      </c>
      <c r="P183" s="675"/>
      <c r="Q183" s="24">
        <f t="shared" si="40"/>
        <v>1</v>
      </c>
      <c r="R183" s="671">
        <f t="shared" si="41"/>
        <v>0</v>
      </c>
      <c r="S183" s="321">
        <f t="shared" si="32"/>
        <v>0</v>
      </c>
    </row>
    <row r="184" spans="1:19">
      <c r="A184" s="154"/>
      <c r="B184" s="57"/>
      <c r="C184" s="24">
        <f t="shared" si="33"/>
        <v>1</v>
      </c>
      <c r="D184" s="675"/>
      <c r="E184" s="24">
        <f t="shared" si="34"/>
        <v>1</v>
      </c>
      <c r="F184" s="675"/>
      <c r="G184" s="24">
        <f t="shared" si="35"/>
        <v>1</v>
      </c>
      <c r="H184" s="675"/>
      <c r="I184" s="24">
        <f t="shared" si="36"/>
        <v>1</v>
      </c>
      <c r="J184" s="675"/>
      <c r="K184" s="24">
        <f t="shared" si="37"/>
        <v>1</v>
      </c>
      <c r="L184" s="675"/>
      <c r="M184" s="24">
        <f t="shared" si="38"/>
        <v>1</v>
      </c>
      <c r="N184" s="675"/>
      <c r="O184" s="24">
        <f t="shared" si="39"/>
        <v>1</v>
      </c>
      <c r="P184" s="675"/>
      <c r="Q184" s="24">
        <f t="shared" si="40"/>
        <v>1</v>
      </c>
      <c r="R184" s="671">
        <f t="shared" si="41"/>
        <v>0</v>
      </c>
      <c r="S184" s="321">
        <f t="shared" si="32"/>
        <v>0</v>
      </c>
    </row>
    <row r="185" spans="1:19">
      <c r="A185" s="154"/>
      <c r="B185" s="57"/>
      <c r="C185" s="24">
        <f t="shared" si="33"/>
        <v>1</v>
      </c>
      <c r="D185" s="675"/>
      <c r="E185" s="24">
        <f t="shared" si="34"/>
        <v>1</v>
      </c>
      <c r="F185" s="675"/>
      <c r="G185" s="24">
        <f t="shared" si="35"/>
        <v>1</v>
      </c>
      <c r="H185" s="675"/>
      <c r="I185" s="24">
        <f t="shared" si="36"/>
        <v>1</v>
      </c>
      <c r="J185" s="675"/>
      <c r="K185" s="24">
        <f t="shared" si="37"/>
        <v>1</v>
      </c>
      <c r="L185" s="675"/>
      <c r="M185" s="24">
        <f t="shared" si="38"/>
        <v>1</v>
      </c>
      <c r="N185" s="675"/>
      <c r="O185" s="24">
        <f t="shared" si="39"/>
        <v>1</v>
      </c>
      <c r="P185" s="675"/>
      <c r="Q185" s="24">
        <f t="shared" si="40"/>
        <v>1</v>
      </c>
      <c r="R185" s="671">
        <f t="shared" si="41"/>
        <v>0</v>
      </c>
      <c r="S185" s="321">
        <f t="shared" si="32"/>
        <v>0</v>
      </c>
    </row>
    <row r="186" spans="1:19">
      <c r="A186" s="154"/>
      <c r="B186" s="57"/>
      <c r="C186" s="24">
        <f t="shared" si="33"/>
        <v>1</v>
      </c>
      <c r="D186" s="675"/>
      <c r="E186" s="24">
        <f t="shared" si="34"/>
        <v>1</v>
      </c>
      <c r="F186" s="675"/>
      <c r="G186" s="24">
        <f t="shared" si="35"/>
        <v>1</v>
      </c>
      <c r="H186" s="675"/>
      <c r="I186" s="24">
        <f t="shared" si="36"/>
        <v>1</v>
      </c>
      <c r="J186" s="675"/>
      <c r="K186" s="24">
        <f t="shared" si="37"/>
        <v>1</v>
      </c>
      <c r="L186" s="675"/>
      <c r="M186" s="24">
        <f t="shared" si="38"/>
        <v>1</v>
      </c>
      <c r="N186" s="675"/>
      <c r="O186" s="24">
        <f t="shared" si="39"/>
        <v>1</v>
      </c>
      <c r="P186" s="675"/>
      <c r="Q186" s="24">
        <f t="shared" si="40"/>
        <v>1</v>
      </c>
      <c r="R186" s="671">
        <f t="shared" si="41"/>
        <v>0</v>
      </c>
      <c r="S186" s="321">
        <f t="shared" si="32"/>
        <v>0</v>
      </c>
    </row>
    <row r="187" spans="1:19">
      <c r="A187" s="154"/>
      <c r="B187" s="57"/>
      <c r="C187" s="24">
        <f t="shared" si="33"/>
        <v>1</v>
      </c>
      <c r="D187" s="675"/>
      <c r="E187" s="24">
        <f t="shared" si="34"/>
        <v>1</v>
      </c>
      <c r="F187" s="675"/>
      <c r="G187" s="24">
        <f t="shared" si="35"/>
        <v>1</v>
      </c>
      <c r="H187" s="675"/>
      <c r="I187" s="24">
        <f t="shared" si="36"/>
        <v>1</v>
      </c>
      <c r="J187" s="675"/>
      <c r="K187" s="24">
        <f t="shared" si="37"/>
        <v>1</v>
      </c>
      <c r="L187" s="675"/>
      <c r="M187" s="24">
        <f t="shared" si="38"/>
        <v>1</v>
      </c>
      <c r="N187" s="675"/>
      <c r="O187" s="24">
        <f t="shared" si="39"/>
        <v>1</v>
      </c>
      <c r="P187" s="675"/>
      <c r="Q187" s="24">
        <f t="shared" si="40"/>
        <v>1</v>
      </c>
      <c r="R187" s="671">
        <f t="shared" si="41"/>
        <v>0</v>
      </c>
      <c r="S187" s="321">
        <f t="shared" ref="S187:S222" si="42">ROUND(R187*B187/10000,0)</f>
        <v>0</v>
      </c>
    </row>
    <row r="188" spans="1:19">
      <c r="A188" s="154"/>
      <c r="B188" s="57"/>
      <c r="C188" s="24">
        <f t="shared" si="33"/>
        <v>1</v>
      </c>
      <c r="D188" s="675"/>
      <c r="E188" s="24">
        <f t="shared" si="34"/>
        <v>1</v>
      </c>
      <c r="F188" s="675"/>
      <c r="G188" s="24">
        <f t="shared" si="35"/>
        <v>1</v>
      </c>
      <c r="H188" s="675"/>
      <c r="I188" s="24">
        <f t="shared" si="36"/>
        <v>1</v>
      </c>
      <c r="J188" s="675"/>
      <c r="K188" s="24">
        <f t="shared" si="37"/>
        <v>1</v>
      </c>
      <c r="L188" s="675"/>
      <c r="M188" s="24">
        <f t="shared" si="38"/>
        <v>1</v>
      </c>
      <c r="N188" s="675"/>
      <c r="O188" s="24">
        <f t="shared" si="39"/>
        <v>1</v>
      </c>
      <c r="P188" s="675"/>
      <c r="Q188" s="24">
        <f t="shared" si="40"/>
        <v>1</v>
      </c>
      <c r="R188" s="671">
        <f t="shared" si="41"/>
        <v>0</v>
      </c>
      <c r="S188" s="321">
        <f t="shared" si="42"/>
        <v>0</v>
      </c>
    </row>
    <row r="189" spans="1:19">
      <c r="A189" s="154"/>
      <c r="B189" s="57"/>
      <c r="C189" s="24">
        <f t="shared" si="33"/>
        <v>1</v>
      </c>
      <c r="D189" s="675"/>
      <c r="E189" s="24">
        <f t="shared" si="34"/>
        <v>1</v>
      </c>
      <c r="F189" s="675"/>
      <c r="G189" s="24">
        <f t="shared" si="35"/>
        <v>1</v>
      </c>
      <c r="H189" s="675"/>
      <c r="I189" s="24">
        <f t="shared" si="36"/>
        <v>1</v>
      </c>
      <c r="J189" s="675"/>
      <c r="K189" s="24">
        <f t="shared" si="37"/>
        <v>1</v>
      </c>
      <c r="L189" s="675"/>
      <c r="M189" s="24">
        <f t="shared" si="38"/>
        <v>1</v>
      </c>
      <c r="N189" s="675"/>
      <c r="O189" s="24">
        <f t="shared" si="39"/>
        <v>1</v>
      </c>
      <c r="P189" s="675"/>
      <c r="Q189" s="24">
        <f t="shared" si="40"/>
        <v>1</v>
      </c>
      <c r="R189" s="671">
        <f t="shared" si="41"/>
        <v>0</v>
      </c>
      <c r="S189" s="321">
        <f t="shared" si="42"/>
        <v>0</v>
      </c>
    </row>
    <row r="190" spans="1:19">
      <c r="A190" s="154"/>
      <c r="B190" s="57"/>
      <c r="C190" s="24">
        <f t="shared" si="33"/>
        <v>1</v>
      </c>
      <c r="D190" s="675"/>
      <c r="E190" s="24">
        <f t="shared" si="34"/>
        <v>1</v>
      </c>
      <c r="F190" s="675"/>
      <c r="G190" s="24">
        <f t="shared" si="35"/>
        <v>1</v>
      </c>
      <c r="H190" s="675"/>
      <c r="I190" s="24">
        <f t="shared" si="36"/>
        <v>1</v>
      </c>
      <c r="J190" s="675"/>
      <c r="K190" s="24">
        <f t="shared" si="37"/>
        <v>1</v>
      </c>
      <c r="L190" s="675"/>
      <c r="M190" s="24">
        <f t="shared" si="38"/>
        <v>1</v>
      </c>
      <c r="N190" s="675"/>
      <c r="O190" s="24">
        <f t="shared" si="39"/>
        <v>1</v>
      </c>
      <c r="P190" s="675"/>
      <c r="Q190" s="24">
        <f t="shared" si="40"/>
        <v>1</v>
      </c>
      <c r="R190" s="671">
        <f t="shared" si="41"/>
        <v>0</v>
      </c>
      <c r="S190" s="321">
        <f t="shared" si="42"/>
        <v>0</v>
      </c>
    </row>
    <row r="191" spans="1:19">
      <c r="A191" s="154"/>
      <c r="B191" s="57"/>
      <c r="C191" s="24">
        <f t="shared" si="33"/>
        <v>1</v>
      </c>
      <c r="D191" s="675"/>
      <c r="E191" s="24">
        <f t="shared" si="34"/>
        <v>1</v>
      </c>
      <c r="F191" s="675"/>
      <c r="G191" s="24">
        <f t="shared" si="35"/>
        <v>1</v>
      </c>
      <c r="H191" s="675"/>
      <c r="I191" s="24">
        <f t="shared" si="36"/>
        <v>1</v>
      </c>
      <c r="J191" s="675"/>
      <c r="K191" s="24">
        <f t="shared" si="37"/>
        <v>1</v>
      </c>
      <c r="L191" s="675"/>
      <c r="M191" s="24">
        <f t="shared" si="38"/>
        <v>1</v>
      </c>
      <c r="N191" s="675"/>
      <c r="O191" s="24">
        <f t="shared" si="39"/>
        <v>1</v>
      </c>
      <c r="P191" s="675"/>
      <c r="Q191" s="24">
        <f t="shared" si="40"/>
        <v>1</v>
      </c>
      <c r="R191" s="671">
        <f t="shared" si="41"/>
        <v>0</v>
      </c>
      <c r="S191" s="321">
        <f t="shared" si="42"/>
        <v>0</v>
      </c>
    </row>
    <row r="192" spans="1:19">
      <c r="A192" s="154"/>
      <c r="B192" s="57"/>
      <c r="C192" s="24">
        <f t="shared" si="33"/>
        <v>1</v>
      </c>
      <c r="D192" s="675"/>
      <c r="E192" s="24">
        <f t="shared" si="34"/>
        <v>1</v>
      </c>
      <c r="F192" s="675"/>
      <c r="G192" s="24">
        <f t="shared" si="35"/>
        <v>1</v>
      </c>
      <c r="H192" s="675"/>
      <c r="I192" s="24">
        <f t="shared" si="36"/>
        <v>1</v>
      </c>
      <c r="J192" s="675"/>
      <c r="K192" s="24">
        <f t="shared" si="37"/>
        <v>1</v>
      </c>
      <c r="L192" s="675"/>
      <c r="M192" s="24">
        <f t="shared" si="38"/>
        <v>1</v>
      </c>
      <c r="N192" s="675"/>
      <c r="O192" s="24">
        <f t="shared" si="39"/>
        <v>1</v>
      </c>
      <c r="P192" s="675"/>
      <c r="Q192" s="24">
        <f t="shared" si="40"/>
        <v>1</v>
      </c>
      <c r="R192" s="671">
        <f t="shared" si="41"/>
        <v>0</v>
      </c>
      <c r="S192" s="321">
        <f t="shared" si="42"/>
        <v>0</v>
      </c>
    </row>
    <row r="193" spans="1:19">
      <c r="A193" s="154"/>
      <c r="B193" s="57"/>
      <c r="C193" s="24">
        <f t="shared" si="33"/>
        <v>1</v>
      </c>
      <c r="D193" s="675"/>
      <c r="E193" s="24">
        <f t="shared" si="34"/>
        <v>1</v>
      </c>
      <c r="F193" s="675"/>
      <c r="G193" s="24">
        <f t="shared" si="35"/>
        <v>1</v>
      </c>
      <c r="H193" s="675"/>
      <c r="I193" s="24">
        <f t="shared" si="36"/>
        <v>1</v>
      </c>
      <c r="J193" s="675"/>
      <c r="K193" s="24">
        <f t="shared" si="37"/>
        <v>1</v>
      </c>
      <c r="L193" s="675"/>
      <c r="M193" s="24">
        <f t="shared" si="38"/>
        <v>1</v>
      </c>
      <c r="N193" s="675"/>
      <c r="O193" s="24">
        <f t="shared" si="39"/>
        <v>1</v>
      </c>
      <c r="P193" s="675"/>
      <c r="Q193" s="24">
        <f t="shared" si="40"/>
        <v>1</v>
      </c>
      <c r="R193" s="671">
        <f t="shared" si="41"/>
        <v>0</v>
      </c>
      <c r="S193" s="321">
        <f t="shared" si="42"/>
        <v>0</v>
      </c>
    </row>
    <row r="194" spans="1:19">
      <c r="A194" s="154"/>
      <c r="B194" s="57"/>
      <c r="C194" s="24">
        <f t="shared" si="33"/>
        <v>1</v>
      </c>
      <c r="D194" s="675"/>
      <c r="E194" s="24">
        <f t="shared" si="34"/>
        <v>1</v>
      </c>
      <c r="F194" s="675"/>
      <c r="G194" s="24">
        <f t="shared" si="35"/>
        <v>1</v>
      </c>
      <c r="H194" s="675"/>
      <c r="I194" s="24">
        <f t="shared" si="36"/>
        <v>1</v>
      </c>
      <c r="J194" s="675"/>
      <c r="K194" s="24">
        <f t="shared" si="37"/>
        <v>1</v>
      </c>
      <c r="L194" s="675"/>
      <c r="M194" s="24">
        <f t="shared" si="38"/>
        <v>1</v>
      </c>
      <c r="N194" s="675"/>
      <c r="O194" s="24">
        <f t="shared" si="39"/>
        <v>1</v>
      </c>
      <c r="P194" s="675"/>
      <c r="Q194" s="24">
        <f t="shared" si="40"/>
        <v>1</v>
      </c>
      <c r="R194" s="671">
        <f t="shared" si="41"/>
        <v>0</v>
      </c>
      <c r="S194" s="321">
        <f t="shared" si="42"/>
        <v>0</v>
      </c>
    </row>
    <row r="195" spans="1:19">
      <c r="A195" s="154"/>
      <c r="B195" s="57"/>
      <c r="C195" s="24">
        <f t="shared" si="33"/>
        <v>1</v>
      </c>
      <c r="D195" s="675"/>
      <c r="E195" s="24">
        <f t="shared" si="34"/>
        <v>1</v>
      </c>
      <c r="F195" s="675"/>
      <c r="G195" s="24">
        <f t="shared" si="35"/>
        <v>1</v>
      </c>
      <c r="H195" s="675"/>
      <c r="I195" s="24">
        <f t="shared" si="36"/>
        <v>1</v>
      </c>
      <c r="J195" s="675"/>
      <c r="K195" s="24">
        <f t="shared" si="37"/>
        <v>1</v>
      </c>
      <c r="L195" s="675"/>
      <c r="M195" s="24">
        <f t="shared" si="38"/>
        <v>1</v>
      </c>
      <c r="N195" s="675"/>
      <c r="O195" s="24">
        <f t="shared" si="39"/>
        <v>1</v>
      </c>
      <c r="P195" s="675"/>
      <c r="Q195" s="24">
        <f t="shared" si="40"/>
        <v>1</v>
      </c>
      <c r="R195" s="671">
        <f t="shared" si="41"/>
        <v>0</v>
      </c>
      <c r="S195" s="321">
        <f t="shared" si="42"/>
        <v>0</v>
      </c>
    </row>
    <row r="196" spans="1:19">
      <c r="A196" s="154"/>
      <c r="B196" s="57"/>
      <c r="C196" s="24">
        <f t="shared" si="33"/>
        <v>1</v>
      </c>
      <c r="D196" s="675"/>
      <c r="E196" s="24">
        <f t="shared" si="34"/>
        <v>1</v>
      </c>
      <c r="F196" s="675"/>
      <c r="G196" s="24">
        <f t="shared" si="35"/>
        <v>1</v>
      </c>
      <c r="H196" s="675"/>
      <c r="I196" s="24">
        <f t="shared" si="36"/>
        <v>1</v>
      </c>
      <c r="J196" s="675"/>
      <c r="K196" s="24">
        <f t="shared" si="37"/>
        <v>1</v>
      </c>
      <c r="L196" s="675"/>
      <c r="M196" s="24">
        <f t="shared" si="38"/>
        <v>1</v>
      </c>
      <c r="N196" s="675"/>
      <c r="O196" s="24">
        <f t="shared" si="39"/>
        <v>1</v>
      </c>
      <c r="P196" s="675"/>
      <c r="Q196" s="24">
        <f t="shared" si="40"/>
        <v>1</v>
      </c>
      <c r="R196" s="671">
        <f t="shared" si="41"/>
        <v>0</v>
      </c>
      <c r="S196" s="321">
        <f t="shared" si="42"/>
        <v>0</v>
      </c>
    </row>
    <row r="197" spans="1:19">
      <c r="A197" s="154"/>
      <c r="B197" s="57"/>
      <c r="C197" s="24">
        <f t="shared" si="33"/>
        <v>1</v>
      </c>
      <c r="D197" s="675"/>
      <c r="E197" s="24">
        <f t="shared" si="34"/>
        <v>1</v>
      </c>
      <c r="F197" s="675"/>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si="41"/>
        <v>0</v>
      </c>
      <c r="S197" s="321">
        <f t="shared" si="42"/>
        <v>0</v>
      </c>
    </row>
    <row r="198" spans="1:19">
      <c r="A198" s="154"/>
      <c r="B198" s="57"/>
      <c r="C198" s="24">
        <f t="shared" si="33"/>
        <v>1</v>
      </c>
      <c r="D198" s="675"/>
      <c r="E198" s="24">
        <f t="shared" si="34"/>
        <v>1</v>
      </c>
      <c r="F198" s="675"/>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si="41"/>
        <v>0</v>
      </c>
      <c r="S198" s="321">
        <f t="shared" si="42"/>
        <v>0</v>
      </c>
    </row>
    <row r="199" spans="1:19">
      <c r="A199" s="154"/>
      <c r="B199" s="57"/>
      <c r="C199" s="24">
        <f t="shared" si="33"/>
        <v>1</v>
      </c>
      <c r="D199" s="675"/>
      <c r="E199" s="24">
        <f t="shared" si="34"/>
        <v>1</v>
      </c>
      <c r="F199" s="675"/>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si="41"/>
        <v>0</v>
      </c>
      <c r="S199" s="321">
        <f t="shared" si="42"/>
        <v>0</v>
      </c>
    </row>
    <row r="200" spans="1:19">
      <c r="A200" s="154"/>
      <c r="B200" s="57"/>
      <c r="C200" s="24">
        <f t="shared" si="33"/>
        <v>1</v>
      </c>
      <c r="D200" s="675"/>
      <c r="E200" s="24">
        <f t="shared" si="34"/>
        <v>1</v>
      </c>
      <c r="F200" s="675"/>
      <c r="G200" s="24">
        <f t="shared" si="35"/>
        <v>1</v>
      </c>
      <c r="H200" s="675"/>
      <c r="I200" s="24">
        <f t="shared" si="36"/>
        <v>1</v>
      </c>
      <c r="J200" s="675"/>
      <c r="K200" s="24">
        <f t="shared" si="37"/>
        <v>1</v>
      </c>
      <c r="L200" s="675"/>
      <c r="M200" s="24">
        <f t="shared" si="38"/>
        <v>1</v>
      </c>
      <c r="N200" s="675"/>
      <c r="O200" s="24">
        <f t="shared" si="39"/>
        <v>1</v>
      </c>
      <c r="P200" s="675"/>
      <c r="Q200" s="24">
        <f t="shared" si="40"/>
        <v>1</v>
      </c>
      <c r="R200" s="671">
        <f t="shared" si="41"/>
        <v>0</v>
      </c>
      <c r="S200" s="321">
        <f t="shared" si="42"/>
        <v>0</v>
      </c>
    </row>
    <row r="201" spans="1:19">
      <c r="A201" s="154"/>
      <c r="B201" s="57"/>
      <c r="C201" s="24">
        <f t="shared" si="33"/>
        <v>1</v>
      </c>
      <c r="D201" s="675"/>
      <c r="E201" s="24">
        <f t="shared" si="34"/>
        <v>1</v>
      </c>
      <c r="F201" s="675"/>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si="41"/>
        <v>0</v>
      </c>
      <c r="S201" s="321">
        <f t="shared" si="42"/>
        <v>0</v>
      </c>
    </row>
    <row r="202" spans="1:19">
      <c r="A202" s="154"/>
      <c r="B202" s="57"/>
      <c r="C202" s="24">
        <f t="shared" si="33"/>
        <v>1</v>
      </c>
      <c r="D202" s="675"/>
      <c r="E202" s="24">
        <f t="shared" si="34"/>
        <v>1</v>
      </c>
      <c r="F202" s="675"/>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si="41"/>
        <v>0</v>
      </c>
      <c r="S202" s="321">
        <f t="shared" si="42"/>
        <v>0</v>
      </c>
    </row>
    <row r="203" spans="1:19">
      <c r="A203" s="154"/>
      <c r="B203" s="57"/>
      <c r="C203" s="24">
        <f t="shared" si="33"/>
        <v>1</v>
      </c>
      <c r="D203" s="675"/>
      <c r="E203" s="24">
        <f t="shared" si="34"/>
        <v>1</v>
      </c>
      <c r="F203" s="675"/>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si="41"/>
        <v>0</v>
      </c>
      <c r="S203" s="321">
        <f t="shared" si="42"/>
        <v>0</v>
      </c>
    </row>
    <row r="204" spans="1:19">
      <c r="A204" s="154"/>
      <c r="B204" s="57"/>
      <c r="C204" s="24">
        <f t="shared" si="33"/>
        <v>1</v>
      </c>
      <c r="D204" s="675"/>
      <c r="E204" s="24">
        <f t="shared" si="34"/>
        <v>1</v>
      </c>
      <c r="F204" s="675"/>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si="41"/>
        <v>0</v>
      </c>
      <c r="S204" s="321">
        <f t="shared" si="42"/>
        <v>0</v>
      </c>
    </row>
    <row r="205" spans="1:19">
      <c r="A205" s="154"/>
      <c r="B205" s="57"/>
      <c r="C205" s="24">
        <f t="shared" si="33"/>
        <v>1</v>
      </c>
      <c r="D205" s="675"/>
      <c r="E205" s="24">
        <f t="shared" si="34"/>
        <v>1</v>
      </c>
      <c r="F205" s="675"/>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si="41"/>
        <v>0</v>
      </c>
      <c r="S205" s="321">
        <f t="shared" si="42"/>
        <v>0</v>
      </c>
    </row>
    <row r="206" spans="1:19">
      <c r="A206" s="154"/>
      <c r="B206" s="57"/>
      <c r="C206" s="24">
        <f t="shared" si="33"/>
        <v>1</v>
      </c>
      <c r="D206" s="675"/>
      <c r="E206" s="24">
        <f t="shared" si="34"/>
        <v>1</v>
      </c>
      <c r="F206" s="675"/>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si="41"/>
        <v>0</v>
      </c>
      <c r="S206" s="321">
        <f t="shared" si="42"/>
        <v>0</v>
      </c>
    </row>
    <row r="207" spans="1:19">
      <c r="A207" s="154"/>
      <c r="B207" s="57"/>
      <c r="C207" s="24">
        <f t="shared" si="33"/>
        <v>1</v>
      </c>
      <c r="D207" s="675"/>
      <c r="E207" s="24">
        <f t="shared" si="34"/>
        <v>1</v>
      </c>
      <c r="F207" s="675"/>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si="41"/>
        <v>0</v>
      </c>
      <c r="S207" s="321">
        <f t="shared" si="42"/>
        <v>0</v>
      </c>
    </row>
    <row r="208" spans="1:19">
      <c r="A208" s="154"/>
      <c r="B208" s="57"/>
      <c r="C208" s="24">
        <f t="shared" si="33"/>
        <v>1</v>
      </c>
      <c r="D208" s="675"/>
      <c r="E208" s="24">
        <f t="shared" si="34"/>
        <v>1</v>
      </c>
      <c r="F208" s="675"/>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si="41"/>
        <v>0</v>
      </c>
      <c r="S208" s="321">
        <f t="shared" si="42"/>
        <v>0</v>
      </c>
    </row>
    <row r="209" spans="1:19">
      <c r="A209" s="154"/>
      <c r="B209" s="57"/>
      <c r="C209" s="24">
        <f t="shared" si="33"/>
        <v>1</v>
      </c>
      <c r="D209" s="675"/>
      <c r="E209" s="24">
        <f t="shared" si="34"/>
        <v>1</v>
      </c>
      <c r="F209" s="675"/>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si="41"/>
        <v>0</v>
      </c>
      <c r="S209" s="321">
        <f t="shared" si="42"/>
        <v>0</v>
      </c>
    </row>
    <row r="210" spans="1:19">
      <c r="A210" s="154"/>
      <c r="B210" s="57"/>
      <c r="C210" s="24">
        <f t="shared" si="33"/>
        <v>1</v>
      </c>
      <c r="D210" s="675"/>
      <c r="E210" s="24">
        <f t="shared" si="34"/>
        <v>1</v>
      </c>
      <c r="F210" s="675"/>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si="41"/>
        <v>0</v>
      </c>
      <c r="S210" s="321">
        <f t="shared" si="42"/>
        <v>0</v>
      </c>
    </row>
    <row r="211" spans="1:19">
      <c r="A211" s="154"/>
      <c r="B211" s="57"/>
      <c r="C211" s="24">
        <f t="shared" si="33"/>
        <v>1</v>
      </c>
      <c r="D211" s="675"/>
      <c r="E211" s="24">
        <f t="shared" si="34"/>
        <v>1</v>
      </c>
      <c r="F211" s="675"/>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si="41"/>
        <v>0</v>
      </c>
      <c r="S211" s="321">
        <f t="shared" si="42"/>
        <v>0</v>
      </c>
    </row>
    <row r="212" spans="1:19">
      <c r="A212" s="154"/>
      <c r="B212" s="57"/>
      <c r="C212" s="24">
        <f t="shared" si="33"/>
        <v>1</v>
      </c>
      <c r="D212" s="675"/>
      <c r="E212" s="24">
        <f t="shared" si="34"/>
        <v>1</v>
      </c>
      <c r="F212" s="675"/>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si="41"/>
        <v>0</v>
      </c>
      <c r="S212" s="321">
        <f t="shared" si="42"/>
        <v>0</v>
      </c>
    </row>
    <row r="213" spans="1:19">
      <c r="A213" s="154"/>
      <c r="B213" s="57"/>
      <c r="C213" s="24">
        <f t="shared" si="33"/>
        <v>1</v>
      </c>
      <c r="D213" s="675"/>
      <c r="E213" s="24">
        <f t="shared" si="34"/>
        <v>1</v>
      </c>
      <c r="F213" s="675"/>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si="41"/>
        <v>0</v>
      </c>
      <c r="S213" s="321">
        <f t="shared" si="42"/>
        <v>0</v>
      </c>
    </row>
    <row r="214" spans="1:19">
      <c r="A214" s="154"/>
      <c r="B214" s="57"/>
      <c r="C214" s="24">
        <f t="shared" si="33"/>
        <v>1</v>
      </c>
      <c r="D214" s="675"/>
      <c r="E214" s="24">
        <f t="shared" si="34"/>
        <v>1</v>
      </c>
      <c r="F214" s="675"/>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si="41"/>
        <v>0</v>
      </c>
      <c r="S214" s="321">
        <f t="shared" si="42"/>
        <v>0</v>
      </c>
    </row>
    <row r="215" spans="1:19">
      <c r="A215" s="154"/>
      <c r="B215" s="57"/>
      <c r="C215" s="24">
        <f t="shared" si="33"/>
        <v>1</v>
      </c>
      <c r="D215" s="675"/>
      <c r="E215" s="24">
        <f t="shared" si="34"/>
        <v>1</v>
      </c>
      <c r="F215" s="675"/>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si="41"/>
        <v>0</v>
      </c>
      <c r="S215" s="321">
        <f t="shared" si="42"/>
        <v>0</v>
      </c>
    </row>
    <row r="216" spans="1:19">
      <c r="A216" s="154"/>
      <c r="B216" s="57"/>
      <c r="C216" s="24">
        <f t="shared" si="33"/>
        <v>1</v>
      </c>
      <c r="D216" s="675"/>
      <c r="E216" s="24">
        <f t="shared" si="34"/>
        <v>1</v>
      </c>
      <c r="F216" s="675"/>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si="41"/>
        <v>0</v>
      </c>
      <c r="S216" s="321">
        <f t="shared" si="42"/>
        <v>0</v>
      </c>
    </row>
    <row r="217" spans="1:19">
      <c r="A217" s="154"/>
      <c r="B217" s="57"/>
      <c r="C217" s="24">
        <f t="shared" si="33"/>
        <v>1</v>
      </c>
      <c r="D217" s="675"/>
      <c r="E217" s="24">
        <f t="shared" si="34"/>
        <v>1</v>
      </c>
      <c r="F217" s="675"/>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si="41"/>
        <v>0</v>
      </c>
      <c r="S217" s="321">
        <f t="shared" si="42"/>
        <v>0</v>
      </c>
    </row>
    <row r="218" spans="1:19">
      <c r="A218" s="154"/>
      <c r="B218" s="57"/>
      <c r="C218" s="24">
        <f t="shared" ref="C218:C281" si="43">IF(B218="",1,(LOOKUP(B218,$3:$3,$4:$4)-LOOKUP($B$24,$3:$3,$4:$4)+100)/100)</f>
        <v>1</v>
      </c>
      <c r="D218" s="675"/>
      <c r="E218" s="24">
        <f t="shared" ref="E218:E281" si="44">(SUMIF($5:$5,D218,$6:$6)-SUMIF($5:$5,$D$24,$6:$6)+100)/100</f>
        <v>1</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si="51">IF(B218="",0,ROUND($R$24*C218*E218*G218*I218*K218*M218*O218*Q218,0))</f>
        <v>0</v>
      </c>
      <c r="S218" s="321">
        <f t="shared" si="42"/>
        <v>0</v>
      </c>
    </row>
    <row r="219" spans="1:19">
      <c r="A219" s="154"/>
      <c r="B219" s="57"/>
      <c r="C219" s="24">
        <f t="shared" si="43"/>
        <v>1</v>
      </c>
      <c r="D219" s="675"/>
      <c r="E219" s="24">
        <f t="shared" si="44"/>
        <v>1</v>
      </c>
      <c r="F219" s="675"/>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si="51"/>
        <v>0</v>
      </c>
      <c r="S219" s="321">
        <f t="shared" si="42"/>
        <v>0</v>
      </c>
    </row>
    <row r="220" spans="1:19">
      <c r="A220" s="154"/>
      <c r="B220" s="57"/>
      <c r="C220" s="24">
        <f t="shared" si="43"/>
        <v>1</v>
      </c>
      <c r="D220" s="675"/>
      <c r="E220" s="24">
        <f t="shared" si="44"/>
        <v>1</v>
      </c>
      <c r="F220" s="675"/>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si="51"/>
        <v>0</v>
      </c>
      <c r="S220" s="321">
        <f t="shared" si="42"/>
        <v>0</v>
      </c>
    </row>
    <row r="221" spans="1:19">
      <c r="A221" s="154"/>
      <c r="B221" s="57"/>
      <c r="C221" s="24">
        <f t="shared" si="43"/>
        <v>1</v>
      </c>
      <c r="D221" s="675"/>
      <c r="E221" s="24">
        <f t="shared" si="44"/>
        <v>1</v>
      </c>
      <c r="F221" s="675"/>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si="51"/>
        <v>0</v>
      </c>
      <c r="S221" s="321">
        <f t="shared" si="42"/>
        <v>0</v>
      </c>
    </row>
    <row r="222" spans="1:19">
      <c r="A222" s="154"/>
      <c r="B222" s="57"/>
      <c r="C222" s="24">
        <f t="shared" si="43"/>
        <v>1</v>
      </c>
      <c r="D222" s="675"/>
      <c r="E222" s="24">
        <f t="shared" si="44"/>
        <v>1</v>
      </c>
      <c r="F222" s="675"/>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si="51"/>
        <v>0</v>
      </c>
      <c r="S222" s="321">
        <f t="shared" si="42"/>
        <v>0</v>
      </c>
    </row>
    <row r="223" spans="1:19">
      <c r="A223" s="154"/>
      <c r="B223" s="57"/>
      <c r="C223" s="24">
        <f t="shared" si="43"/>
        <v>1</v>
      </c>
      <c r="D223" s="675"/>
      <c r="E223" s="24">
        <f t="shared" si="44"/>
        <v>1</v>
      </c>
      <c r="F223" s="675"/>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si="51"/>
        <v>0</v>
      </c>
      <c r="S223" s="321">
        <f t="shared" ref="S223:S286" si="52">ROUND(R223*B223/10000,0)</f>
        <v>0</v>
      </c>
    </row>
    <row r="224" spans="1:19">
      <c r="A224" s="154"/>
      <c r="B224" s="57"/>
      <c r="C224" s="24">
        <f t="shared" si="43"/>
        <v>1</v>
      </c>
      <c r="D224" s="675"/>
      <c r="E224" s="24">
        <f t="shared" si="44"/>
        <v>1</v>
      </c>
      <c r="F224" s="675"/>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si="51"/>
        <v>0</v>
      </c>
      <c r="S224" s="321">
        <f t="shared" si="52"/>
        <v>0</v>
      </c>
    </row>
    <row r="225" spans="1:19">
      <c r="A225" s="154"/>
      <c r="B225" s="57"/>
      <c r="C225" s="24">
        <f t="shared" si="43"/>
        <v>1</v>
      </c>
      <c r="D225" s="675"/>
      <c r="E225" s="24">
        <f t="shared" si="44"/>
        <v>1</v>
      </c>
      <c r="F225" s="675"/>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si="51"/>
        <v>0</v>
      </c>
      <c r="S225" s="321">
        <f t="shared" si="52"/>
        <v>0</v>
      </c>
    </row>
    <row r="226" spans="1:19">
      <c r="A226" s="154"/>
      <c r="B226" s="57"/>
      <c r="C226" s="24">
        <f t="shared" si="43"/>
        <v>1</v>
      </c>
      <c r="D226" s="675"/>
      <c r="E226" s="24">
        <f t="shared" si="44"/>
        <v>1</v>
      </c>
      <c r="F226" s="675"/>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si="51"/>
        <v>0</v>
      </c>
      <c r="S226" s="321">
        <f t="shared" si="52"/>
        <v>0</v>
      </c>
    </row>
    <row r="227" spans="1:19">
      <c r="A227" s="154"/>
      <c r="B227" s="57"/>
      <c r="C227" s="24">
        <f t="shared" si="43"/>
        <v>1</v>
      </c>
      <c r="D227" s="675"/>
      <c r="E227" s="24">
        <f t="shared" si="44"/>
        <v>1</v>
      </c>
      <c r="F227" s="675"/>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si="51"/>
        <v>0</v>
      </c>
      <c r="S227" s="321">
        <f t="shared" si="52"/>
        <v>0</v>
      </c>
    </row>
    <row r="228" spans="1:19">
      <c r="A228" s="154"/>
      <c r="B228" s="57"/>
      <c r="C228" s="24">
        <f t="shared" si="43"/>
        <v>1</v>
      </c>
      <c r="D228" s="675"/>
      <c r="E228" s="24">
        <f t="shared" si="44"/>
        <v>1</v>
      </c>
      <c r="F228" s="675"/>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si="51"/>
        <v>0</v>
      </c>
      <c r="S228" s="321">
        <f t="shared" si="52"/>
        <v>0</v>
      </c>
    </row>
    <row r="229" spans="1:19">
      <c r="A229" s="154"/>
      <c r="B229" s="57"/>
      <c r="C229" s="24">
        <f t="shared" si="43"/>
        <v>1</v>
      </c>
      <c r="D229" s="675"/>
      <c r="E229" s="24">
        <f t="shared" si="44"/>
        <v>1</v>
      </c>
      <c r="F229" s="675"/>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si="51"/>
        <v>0</v>
      </c>
      <c r="S229" s="321">
        <f t="shared" si="52"/>
        <v>0</v>
      </c>
    </row>
    <row r="230" spans="1:19">
      <c r="A230" s="154"/>
      <c r="B230" s="57"/>
      <c r="C230" s="24">
        <f t="shared" si="43"/>
        <v>1</v>
      </c>
      <c r="D230" s="675"/>
      <c r="E230" s="24">
        <f t="shared" si="44"/>
        <v>1</v>
      </c>
      <c r="F230" s="675"/>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si="51"/>
        <v>0</v>
      </c>
      <c r="S230" s="321">
        <f t="shared" si="52"/>
        <v>0</v>
      </c>
    </row>
    <row r="231" spans="1:19">
      <c r="A231" s="154"/>
      <c r="B231" s="57"/>
      <c r="C231" s="24">
        <f t="shared" si="43"/>
        <v>1</v>
      </c>
      <c r="D231" s="675"/>
      <c r="E231" s="24">
        <f t="shared" si="44"/>
        <v>1</v>
      </c>
      <c r="F231" s="675"/>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si="51"/>
        <v>0</v>
      </c>
      <c r="S231" s="321">
        <f t="shared" si="52"/>
        <v>0</v>
      </c>
    </row>
    <row r="232" spans="1:19">
      <c r="A232" s="154"/>
      <c r="B232" s="57"/>
      <c r="C232" s="24">
        <f t="shared" si="43"/>
        <v>1</v>
      </c>
      <c r="D232" s="675"/>
      <c r="E232" s="24">
        <f t="shared" si="44"/>
        <v>1</v>
      </c>
      <c r="F232" s="675"/>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si="51"/>
        <v>0</v>
      </c>
      <c r="S232" s="321">
        <f t="shared" si="52"/>
        <v>0</v>
      </c>
    </row>
    <row r="233" spans="1:19">
      <c r="A233" s="154"/>
      <c r="B233" s="57"/>
      <c r="C233" s="24">
        <f t="shared" si="43"/>
        <v>1</v>
      </c>
      <c r="D233" s="675"/>
      <c r="E233" s="24">
        <f t="shared" si="44"/>
        <v>1</v>
      </c>
      <c r="F233" s="675"/>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si="51"/>
        <v>0</v>
      </c>
      <c r="S233" s="321">
        <f t="shared" si="52"/>
        <v>0</v>
      </c>
    </row>
    <row r="234" spans="1:19">
      <c r="A234" s="154"/>
      <c r="B234" s="57"/>
      <c r="C234" s="24">
        <f t="shared" si="43"/>
        <v>1</v>
      </c>
      <c r="D234" s="675"/>
      <c r="E234" s="24">
        <f t="shared" si="44"/>
        <v>1</v>
      </c>
      <c r="F234" s="675"/>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si="51"/>
        <v>0</v>
      </c>
      <c r="S234" s="321">
        <f t="shared" si="52"/>
        <v>0</v>
      </c>
    </row>
    <row r="235" spans="1:19">
      <c r="A235" s="154"/>
      <c r="B235" s="57"/>
      <c r="C235" s="24">
        <f t="shared" si="43"/>
        <v>1</v>
      </c>
      <c r="D235" s="675"/>
      <c r="E235" s="24">
        <f t="shared" si="44"/>
        <v>1</v>
      </c>
      <c r="F235" s="675"/>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si="51"/>
        <v>0</v>
      </c>
      <c r="S235" s="321">
        <f t="shared" si="52"/>
        <v>0</v>
      </c>
    </row>
    <row r="236" spans="1:19">
      <c r="A236" s="154"/>
      <c r="B236" s="57"/>
      <c r="C236" s="24">
        <f t="shared" si="43"/>
        <v>1</v>
      </c>
      <c r="D236" s="675"/>
      <c r="E236" s="24">
        <f t="shared" si="44"/>
        <v>1</v>
      </c>
      <c r="F236" s="675"/>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si="51"/>
        <v>0</v>
      </c>
      <c r="S236" s="321">
        <f t="shared" si="52"/>
        <v>0</v>
      </c>
    </row>
    <row r="237" spans="1:19">
      <c r="A237" s="154"/>
      <c r="B237" s="57"/>
      <c r="C237" s="24">
        <f t="shared" si="43"/>
        <v>1</v>
      </c>
      <c r="D237" s="675"/>
      <c r="E237" s="24">
        <f t="shared" si="44"/>
        <v>1</v>
      </c>
      <c r="F237" s="675"/>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si="51"/>
        <v>0</v>
      </c>
      <c r="S237" s="321">
        <f t="shared" si="52"/>
        <v>0</v>
      </c>
    </row>
    <row r="238" spans="1:19">
      <c r="A238" s="154"/>
      <c r="B238" s="57"/>
      <c r="C238" s="24">
        <f t="shared" si="43"/>
        <v>1</v>
      </c>
      <c r="D238" s="675"/>
      <c r="E238" s="24">
        <f t="shared" si="44"/>
        <v>1</v>
      </c>
      <c r="F238" s="675"/>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si="51"/>
        <v>0</v>
      </c>
      <c r="S238" s="321">
        <f t="shared" si="52"/>
        <v>0</v>
      </c>
    </row>
    <row r="239" spans="1:19">
      <c r="A239" s="154"/>
      <c r="B239" s="57"/>
      <c r="C239" s="24">
        <f t="shared" si="43"/>
        <v>1</v>
      </c>
      <c r="D239" s="675"/>
      <c r="E239" s="24">
        <f t="shared" si="44"/>
        <v>1</v>
      </c>
      <c r="F239" s="675"/>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si="51"/>
        <v>0</v>
      </c>
      <c r="S239" s="321">
        <f t="shared" si="52"/>
        <v>0</v>
      </c>
    </row>
    <row r="240" spans="1:19">
      <c r="A240" s="154"/>
      <c r="B240" s="57"/>
      <c r="C240" s="24">
        <f t="shared" si="43"/>
        <v>1</v>
      </c>
      <c r="D240" s="675"/>
      <c r="E240" s="24">
        <f t="shared" si="44"/>
        <v>1</v>
      </c>
      <c r="F240" s="675"/>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si="51"/>
        <v>0</v>
      </c>
      <c r="S240" s="321">
        <f t="shared" si="52"/>
        <v>0</v>
      </c>
    </row>
    <row r="241" spans="1:19">
      <c r="A241" s="154"/>
      <c r="B241" s="57"/>
      <c r="C241" s="24">
        <f t="shared" si="43"/>
        <v>1</v>
      </c>
      <c r="D241" s="675"/>
      <c r="E241" s="24">
        <f t="shared" si="44"/>
        <v>1</v>
      </c>
      <c r="F241" s="675"/>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si="51"/>
        <v>0</v>
      </c>
      <c r="S241" s="321">
        <f t="shared" si="52"/>
        <v>0</v>
      </c>
    </row>
    <row r="242" spans="1:19">
      <c r="A242" s="154"/>
      <c r="B242" s="57"/>
      <c r="C242" s="24">
        <f t="shared" si="43"/>
        <v>1</v>
      </c>
      <c r="D242" s="675"/>
      <c r="E242" s="24">
        <f t="shared" si="44"/>
        <v>1</v>
      </c>
      <c r="F242" s="675"/>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si="51"/>
        <v>0</v>
      </c>
      <c r="S242" s="321">
        <f t="shared" si="52"/>
        <v>0</v>
      </c>
    </row>
    <row r="243" spans="1:19">
      <c r="A243" s="154"/>
      <c r="B243" s="57"/>
      <c r="C243" s="24">
        <f t="shared" si="43"/>
        <v>1</v>
      </c>
      <c r="D243" s="675"/>
      <c r="E243" s="24">
        <f t="shared" si="44"/>
        <v>1</v>
      </c>
      <c r="F243" s="675"/>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si="51"/>
        <v>0</v>
      </c>
      <c r="S243" s="321">
        <f t="shared" si="52"/>
        <v>0</v>
      </c>
    </row>
    <row r="244" spans="1:19">
      <c r="A244" s="154"/>
      <c r="B244" s="57"/>
      <c r="C244" s="24">
        <f t="shared" si="43"/>
        <v>1</v>
      </c>
      <c r="D244" s="675"/>
      <c r="E244" s="24">
        <f t="shared" si="44"/>
        <v>1</v>
      </c>
      <c r="F244" s="675"/>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si="51"/>
        <v>0</v>
      </c>
      <c r="S244" s="321">
        <f t="shared" si="52"/>
        <v>0</v>
      </c>
    </row>
    <row r="245" spans="1:19">
      <c r="A245" s="154"/>
      <c r="B245" s="57"/>
      <c r="C245" s="24">
        <f t="shared" si="43"/>
        <v>1</v>
      </c>
      <c r="D245" s="675"/>
      <c r="E245" s="24">
        <f t="shared" si="44"/>
        <v>1</v>
      </c>
      <c r="F245" s="675"/>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si="51"/>
        <v>0</v>
      </c>
      <c r="S245" s="321">
        <f t="shared" si="52"/>
        <v>0</v>
      </c>
    </row>
    <row r="246" spans="1:19">
      <c r="A246" s="154"/>
      <c r="B246" s="57"/>
      <c r="C246" s="24">
        <f t="shared" si="43"/>
        <v>1</v>
      </c>
      <c r="D246" s="675"/>
      <c r="E246" s="24">
        <f t="shared" si="44"/>
        <v>1</v>
      </c>
      <c r="F246" s="675"/>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si="51"/>
        <v>0</v>
      </c>
      <c r="S246" s="321">
        <f t="shared" si="52"/>
        <v>0</v>
      </c>
    </row>
    <row r="247" spans="1:19">
      <c r="A247" s="154"/>
      <c r="B247" s="57"/>
      <c r="C247" s="24">
        <f t="shared" si="43"/>
        <v>1</v>
      </c>
      <c r="D247" s="675"/>
      <c r="E247" s="24">
        <f t="shared" si="44"/>
        <v>1</v>
      </c>
      <c r="F247" s="675"/>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si="51"/>
        <v>0</v>
      </c>
      <c r="S247" s="321">
        <f t="shared" si="52"/>
        <v>0</v>
      </c>
    </row>
    <row r="248" spans="1:19">
      <c r="A248" s="154"/>
      <c r="B248" s="57"/>
      <c r="C248" s="24">
        <f t="shared" si="43"/>
        <v>1</v>
      </c>
      <c r="D248" s="675"/>
      <c r="E248" s="24">
        <f t="shared" si="44"/>
        <v>1</v>
      </c>
      <c r="F248" s="675"/>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si="51"/>
        <v>0</v>
      </c>
      <c r="S248" s="321">
        <f t="shared" si="52"/>
        <v>0</v>
      </c>
    </row>
    <row r="249" spans="1:19">
      <c r="A249" s="154"/>
      <c r="B249" s="57"/>
      <c r="C249" s="24">
        <f t="shared" si="43"/>
        <v>1</v>
      </c>
      <c r="D249" s="675"/>
      <c r="E249" s="24">
        <f t="shared" si="44"/>
        <v>1</v>
      </c>
      <c r="F249" s="675"/>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si="51"/>
        <v>0</v>
      </c>
      <c r="S249" s="321">
        <f t="shared" si="52"/>
        <v>0</v>
      </c>
    </row>
    <row r="250" spans="1:19">
      <c r="A250" s="154"/>
      <c r="B250" s="57"/>
      <c r="C250" s="24">
        <f t="shared" si="43"/>
        <v>1</v>
      </c>
      <c r="D250" s="675"/>
      <c r="E250" s="24">
        <f t="shared" si="44"/>
        <v>1</v>
      </c>
      <c r="F250" s="675"/>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si="51"/>
        <v>0</v>
      </c>
      <c r="S250" s="321">
        <f t="shared" si="52"/>
        <v>0</v>
      </c>
    </row>
    <row r="251" spans="1:19">
      <c r="A251" s="154"/>
      <c r="B251" s="57"/>
      <c r="C251" s="24">
        <f t="shared" si="43"/>
        <v>1</v>
      </c>
      <c r="D251" s="675"/>
      <c r="E251" s="24">
        <f t="shared" si="44"/>
        <v>1</v>
      </c>
      <c r="F251" s="675"/>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si="51"/>
        <v>0</v>
      </c>
      <c r="S251" s="321">
        <f t="shared" si="52"/>
        <v>0</v>
      </c>
    </row>
    <row r="252" spans="1:19">
      <c r="A252" s="154"/>
      <c r="B252" s="57"/>
      <c r="C252" s="24">
        <f t="shared" si="43"/>
        <v>1</v>
      </c>
      <c r="D252" s="675"/>
      <c r="E252" s="24">
        <f t="shared" si="44"/>
        <v>1</v>
      </c>
      <c r="F252" s="675"/>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si="51"/>
        <v>0</v>
      </c>
      <c r="S252" s="321">
        <f t="shared" si="52"/>
        <v>0</v>
      </c>
    </row>
    <row r="253" spans="1:19">
      <c r="A253" s="154"/>
      <c r="B253" s="57"/>
      <c r="C253" s="24">
        <f t="shared" si="43"/>
        <v>1</v>
      </c>
      <c r="D253" s="675"/>
      <c r="E253" s="24">
        <f t="shared" si="44"/>
        <v>1</v>
      </c>
      <c r="F253" s="675"/>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si="51"/>
        <v>0</v>
      </c>
      <c r="S253" s="321">
        <f t="shared" si="52"/>
        <v>0</v>
      </c>
    </row>
    <row r="254" spans="1:19">
      <c r="A254" s="154"/>
      <c r="B254" s="57"/>
      <c r="C254" s="24">
        <f t="shared" si="43"/>
        <v>1</v>
      </c>
      <c r="D254" s="675"/>
      <c r="E254" s="24">
        <f t="shared" si="44"/>
        <v>1</v>
      </c>
      <c r="F254" s="675"/>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si="51"/>
        <v>0</v>
      </c>
      <c r="S254" s="321">
        <f t="shared" si="52"/>
        <v>0</v>
      </c>
    </row>
    <row r="255" spans="1:19">
      <c r="A255" s="154"/>
      <c r="B255" s="57"/>
      <c r="C255" s="24">
        <f t="shared" si="43"/>
        <v>1</v>
      </c>
      <c r="D255" s="675"/>
      <c r="E255" s="24">
        <f t="shared" si="44"/>
        <v>1</v>
      </c>
      <c r="F255" s="675"/>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si="51"/>
        <v>0</v>
      </c>
      <c r="S255" s="321">
        <f t="shared" si="52"/>
        <v>0</v>
      </c>
    </row>
    <row r="256" spans="1:19">
      <c r="A256" s="154"/>
      <c r="B256" s="57"/>
      <c r="C256" s="24">
        <f t="shared" si="43"/>
        <v>1</v>
      </c>
      <c r="D256" s="675"/>
      <c r="E256" s="24">
        <f t="shared" si="44"/>
        <v>1</v>
      </c>
      <c r="F256" s="675"/>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si="51"/>
        <v>0</v>
      </c>
      <c r="S256" s="321">
        <f t="shared" si="52"/>
        <v>0</v>
      </c>
    </row>
    <row r="257" spans="1:19">
      <c r="A257" s="154"/>
      <c r="B257" s="57"/>
      <c r="C257" s="24">
        <f t="shared" si="43"/>
        <v>1</v>
      </c>
      <c r="D257" s="675"/>
      <c r="E257" s="24">
        <f t="shared" si="44"/>
        <v>1</v>
      </c>
      <c r="F257" s="675"/>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si="51"/>
        <v>0</v>
      </c>
      <c r="S257" s="321">
        <f t="shared" si="52"/>
        <v>0</v>
      </c>
    </row>
    <row r="258" spans="1:19">
      <c r="A258" s="154"/>
      <c r="B258" s="57"/>
      <c r="C258" s="24">
        <f t="shared" si="43"/>
        <v>1</v>
      </c>
      <c r="D258" s="675"/>
      <c r="E258" s="24">
        <f t="shared" si="44"/>
        <v>1</v>
      </c>
      <c r="F258" s="675"/>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si="51"/>
        <v>0</v>
      </c>
      <c r="S258" s="321">
        <f t="shared" si="52"/>
        <v>0</v>
      </c>
    </row>
    <row r="259" spans="1:19">
      <c r="A259" s="154"/>
      <c r="B259" s="57"/>
      <c r="C259" s="24">
        <f t="shared" si="43"/>
        <v>1</v>
      </c>
      <c r="D259" s="675"/>
      <c r="E259" s="24">
        <f t="shared" si="44"/>
        <v>1</v>
      </c>
      <c r="F259" s="675"/>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si="51"/>
        <v>0</v>
      </c>
      <c r="S259" s="321">
        <f t="shared" si="52"/>
        <v>0</v>
      </c>
    </row>
    <row r="260" spans="1:19">
      <c r="A260" s="154"/>
      <c r="B260" s="57"/>
      <c r="C260" s="24">
        <f t="shared" si="43"/>
        <v>1</v>
      </c>
      <c r="D260" s="675"/>
      <c r="E260" s="24">
        <f t="shared" si="44"/>
        <v>1</v>
      </c>
      <c r="F260" s="675"/>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si="51"/>
        <v>0</v>
      </c>
      <c r="S260" s="321">
        <f t="shared" si="52"/>
        <v>0</v>
      </c>
    </row>
    <row r="261" spans="1:19">
      <c r="A261" s="154"/>
      <c r="B261" s="57"/>
      <c r="C261" s="24">
        <f t="shared" si="43"/>
        <v>1</v>
      </c>
      <c r="D261" s="675"/>
      <c r="E261" s="24">
        <f t="shared" si="44"/>
        <v>1</v>
      </c>
      <c r="F261" s="675"/>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si="51"/>
        <v>0</v>
      </c>
      <c r="S261" s="321">
        <f t="shared" si="52"/>
        <v>0</v>
      </c>
    </row>
    <row r="262" spans="1:19">
      <c r="A262" s="154"/>
      <c r="B262" s="57"/>
      <c r="C262" s="24">
        <f t="shared" si="43"/>
        <v>1</v>
      </c>
      <c r="D262" s="675"/>
      <c r="E262" s="24">
        <f t="shared" si="44"/>
        <v>1</v>
      </c>
      <c r="F262" s="675"/>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si="51"/>
        <v>0</v>
      </c>
      <c r="S262" s="321">
        <f t="shared" si="52"/>
        <v>0</v>
      </c>
    </row>
    <row r="263" spans="1:19">
      <c r="A263" s="154"/>
      <c r="B263" s="57"/>
      <c r="C263" s="24">
        <f t="shared" si="43"/>
        <v>1</v>
      </c>
      <c r="D263" s="675"/>
      <c r="E263" s="24">
        <f t="shared" si="44"/>
        <v>1</v>
      </c>
      <c r="F263" s="675"/>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si="51"/>
        <v>0</v>
      </c>
      <c r="S263" s="321">
        <f t="shared" si="52"/>
        <v>0</v>
      </c>
    </row>
    <row r="264" spans="1:19">
      <c r="A264" s="154"/>
      <c r="B264" s="57"/>
      <c r="C264" s="24">
        <f t="shared" si="43"/>
        <v>1</v>
      </c>
      <c r="D264" s="675"/>
      <c r="E264" s="24">
        <f t="shared" si="44"/>
        <v>1</v>
      </c>
      <c r="F264" s="675"/>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si="51"/>
        <v>0</v>
      </c>
      <c r="S264" s="321">
        <f t="shared" si="52"/>
        <v>0</v>
      </c>
    </row>
    <row r="265" spans="1:19">
      <c r="A265" s="154"/>
      <c r="B265" s="57"/>
      <c r="C265" s="24">
        <f t="shared" si="43"/>
        <v>1</v>
      </c>
      <c r="D265" s="675"/>
      <c r="E265" s="24">
        <f t="shared" si="44"/>
        <v>1</v>
      </c>
      <c r="F265" s="675"/>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si="51"/>
        <v>0</v>
      </c>
      <c r="S265" s="321">
        <f t="shared" si="52"/>
        <v>0</v>
      </c>
    </row>
    <row r="266" spans="1:19">
      <c r="A266" s="154"/>
      <c r="B266" s="57"/>
      <c r="C266" s="24">
        <f t="shared" si="43"/>
        <v>1</v>
      </c>
      <c r="D266" s="675"/>
      <c r="E266" s="24">
        <f t="shared" si="44"/>
        <v>1</v>
      </c>
      <c r="F266" s="675"/>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si="51"/>
        <v>0</v>
      </c>
      <c r="S266" s="321">
        <f t="shared" si="52"/>
        <v>0</v>
      </c>
    </row>
    <row r="267" spans="1:19">
      <c r="A267" s="154"/>
      <c r="B267" s="57"/>
      <c r="C267" s="24">
        <f t="shared" si="43"/>
        <v>1</v>
      </c>
      <c r="D267" s="675"/>
      <c r="E267" s="24">
        <f t="shared" si="44"/>
        <v>1</v>
      </c>
      <c r="F267" s="675"/>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si="51"/>
        <v>0</v>
      </c>
      <c r="S267" s="321">
        <f t="shared" si="52"/>
        <v>0</v>
      </c>
    </row>
    <row r="268" spans="1:19">
      <c r="A268" s="154"/>
      <c r="B268" s="57"/>
      <c r="C268" s="24">
        <f t="shared" si="43"/>
        <v>1</v>
      </c>
      <c r="D268" s="675"/>
      <c r="E268" s="24">
        <f t="shared" si="44"/>
        <v>1</v>
      </c>
      <c r="F268" s="675"/>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si="51"/>
        <v>0</v>
      </c>
      <c r="S268" s="321">
        <f t="shared" si="52"/>
        <v>0</v>
      </c>
    </row>
    <row r="269" spans="1:19">
      <c r="A269" s="154"/>
      <c r="B269" s="57"/>
      <c r="C269" s="24">
        <f t="shared" si="43"/>
        <v>1</v>
      </c>
      <c r="D269" s="675"/>
      <c r="E269" s="24">
        <f t="shared" si="44"/>
        <v>1</v>
      </c>
      <c r="F269" s="675"/>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si="51"/>
        <v>0</v>
      </c>
      <c r="S269" s="321">
        <f t="shared" si="52"/>
        <v>0</v>
      </c>
    </row>
    <row r="270" spans="1:19">
      <c r="A270" s="154"/>
      <c r="B270" s="57"/>
      <c r="C270" s="24">
        <f t="shared" si="43"/>
        <v>1</v>
      </c>
      <c r="D270" s="675"/>
      <c r="E270" s="24">
        <f t="shared" si="44"/>
        <v>1</v>
      </c>
      <c r="F270" s="675"/>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si="51"/>
        <v>0</v>
      </c>
      <c r="S270" s="321">
        <f t="shared" si="52"/>
        <v>0</v>
      </c>
    </row>
    <row r="271" spans="1:19">
      <c r="A271" s="154"/>
      <c r="B271" s="57"/>
      <c r="C271" s="24">
        <f t="shared" si="43"/>
        <v>1</v>
      </c>
      <c r="D271" s="675"/>
      <c r="E271" s="24">
        <f t="shared" si="44"/>
        <v>1</v>
      </c>
      <c r="F271" s="675"/>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si="51"/>
        <v>0</v>
      </c>
      <c r="S271" s="321">
        <f t="shared" si="52"/>
        <v>0</v>
      </c>
    </row>
    <row r="272" spans="1:19">
      <c r="A272" s="154"/>
      <c r="B272" s="57"/>
      <c r="C272" s="24">
        <f t="shared" si="43"/>
        <v>1</v>
      </c>
      <c r="D272" s="675"/>
      <c r="E272" s="24">
        <f t="shared" si="44"/>
        <v>1</v>
      </c>
      <c r="F272" s="675"/>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si="51"/>
        <v>0</v>
      </c>
      <c r="S272" s="321">
        <f t="shared" si="52"/>
        <v>0</v>
      </c>
    </row>
    <row r="273" spans="1:19">
      <c r="A273" s="154"/>
      <c r="B273" s="57"/>
      <c r="C273" s="24">
        <f t="shared" si="43"/>
        <v>1</v>
      </c>
      <c r="D273" s="675"/>
      <c r="E273" s="24">
        <f t="shared" si="44"/>
        <v>1</v>
      </c>
      <c r="F273" s="675"/>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si="51"/>
        <v>0</v>
      </c>
      <c r="S273" s="321">
        <f t="shared" si="52"/>
        <v>0</v>
      </c>
    </row>
    <row r="274" spans="1:19">
      <c r="A274" s="154"/>
      <c r="B274" s="57"/>
      <c r="C274" s="24">
        <f t="shared" si="43"/>
        <v>1</v>
      </c>
      <c r="D274" s="675"/>
      <c r="E274" s="24">
        <f t="shared" si="44"/>
        <v>1</v>
      </c>
      <c r="F274" s="675"/>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si="51"/>
        <v>0</v>
      </c>
      <c r="S274" s="321">
        <f t="shared" si="52"/>
        <v>0</v>
      </c>
    </row>
    <row r="275" spans="1:19">
      <c r="A275" s="154"/>
      <c r="B275" s="57"/>
      <c r="C275" s="24">
        <f t="shared" si="43"/>
        <v>1</v>
      </c>
      <c r="D275" s="675"/>
      <c r="E275" s="24">
        <f t="shared" si="44"/>
        <v>1</v>
      </c>
      <c r="F275" s="675"/>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si="51"/>
        <v>0</v>
      </c>
      <c r="S275" s="321">
        <f t="shared" si="52"/>
        <v>0</v>
      </c>
    </row>
    <row r="276" spans="1:19">
      <c r="A276" s="154"/>
      <c r="B276" s="57"/>
      <c r="C276" s="24">
        <f t="shared" si="43"/>
        <v>1</v>
      </c>
      <c r="D276" s="675"/>
      <c r="E276" s="24">
        <f t="shared" si="44"/>
        <v>1</v>
      </c>
      <c r="F276" s="675"/>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si="51"/>
        <v>0</v>
      </c>
      <c r="S276" s="321">
        <f t="shared" si="52"/>
        <v>0</v>
      </c>
    </row>
    <row r="277" spans="1:19">
      <c r="A277" s="154"/>
      <c r="B277" s="57"/>
      <c r="C277" s="24">
        <f t="shared" si="43"/>
        <v>1</v>
      </c>
      <c r="D277" s="675"/>
      <c r="E277" s="24">
        <f t="shared" si="44"/>
        <v>1</v>
      </c>
      <c r="F277" s="675"/>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si="51"/>
        <v>0</v>
      </c>
      <c r="S277" s="321">
        <f t="shared" si="52"/>
        <v>0</v>
      </c>
    </row>
    <row r="278" spans="1:19">
      <c r="A278" s="154"/>
      <c r="B278" s="57"/>
      <c r="C278" s="24">
        <f t="shared" si="43"/>
        <v>1</v>
      </c>
      <c r="D278" s="675"/>
      <c r="E278" s="24">
        <f t="shared" si="44"/>
        <v>1</v>
      </c>
      <c r="F278" s="675"/>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si="51"/>
        <v>0</v>
      </c>
      <c r="S278" s="321">
        <f t="shared" si="52"/>
        <v>0</v>
      </c>
    </row>
    <row r="279" spans="1:19">
      <c r="A279" s="154"/>
      <c r="B279" s="57"/>
      <c r="C279" s="24">
        <f t="shared" si="43"/>
        <v>1</v>
      </c>
      <c r="D279" s="675"/>
      <c r="E279" s="24">
        <f t="shared" si="44"/>
        <v>1</v>
      </c>
      <c r="F279" s="675"/>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si="51"/>
        <v>0</v>
      </c>
      <c r="S279" s="321">
        <f t="shared" si="52"/>
        <v>0</v>
      </c>
    </row>
    <row r="280" spans="1:19">
      <c r="A280" s="154"/>
      <c r="B280" s="57"/>
      <c r="C280" s="24">
        <f t="shared" si="43"/>
        <v>1</v>
      </c>
      <c r="D280" s="675"/>
      <c r="E280" s="24">
        <f t="shared" si="44"/>
        <v>1</v>
      </c>
      <c r="F280" s="675"/>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si="51"/>
        <v>0</v>
      </c>
      <c r="S280" s="321">
        <f t="shared" si="52"/>
        <v>0</v>
      </c>
    </row>
    <row r="281" spans="1:19">
      <c r="A281" s="154"/>
      <c r="B281" s="57"/>
      <c r="C281" s="24">
        <f t="shared" si="43"/>
        <v>1</v>
      </c>
      <c r="D281" s="675"/>
      <c r="E281" s="24">
        <f t="shared" si="44"/>
        <v>1</v>
      </c>
      <c r="F281" s="675"/>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si="51"/>
        <v>0</v>
      </c>
      <c r="S281" s="321">
        <f t="shared" si="52"/>
        <v>0</v>
      </c>
    </row>
    <row r="282" spans="1:19">
      <c r="A282" s="154"/>
      <c r="B282" s="57"/>
      <c r="C282" s="24">
        <f t="shared" ref="C282:C345" si="53">IF(B282="",1,(LOOKUP(B282,$3:$3,$4:$4)-LOOKUP($B$24,$3:$3,$4:$4)+100)/100)</f>
        <v>1</v>
      </c>
      <c r="D282" s="675"/>
      <c r="E282" s="24">
        <f t="shared" ref="E282:E345" si="54">(SUMIF($5:$5,D282,$6:$6)-SUMIF($5:$5,$D$24,$6:$6)+100)/100</f>
        <v>1</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si="61">IF(B282="",0,ROUND($R$24*C282*E282*G282*I282*K282*M282*O282*Q282,0))</f>
        <v>0</v>
      </c>
      <c r="S282" s="321">
        <f t="shared" si="52"/>
        <v>0</v>
      </c>
    </row>
    <row r="283" spans="1:19">
      <c r="A283" s="154"/>
      <c r="B283" s="57"/>
      <c r="C283" s="24">
        <f t="shared" si="53"/>
        <v>1</v>
      </c>
      <c r="D283" s="675"/>
      <c r="E283" s="24">
        <f t="shared" si="54"/>
        <v>1</v>
      </c>
      <c r="F283" s="675"/>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si="61"/>
        <v>0</v>
      </c>
      <c r="S283" s="321">
        <f t="shared" si="52"/>
        <v>0</v>
      </c>
    </row>
    <row r="284" spans="1:19">
      <c r="A284" s="154"/>
      <c r="B284" s="57"/>
      <c r="C284" s="24">
        <f t="shared" si="53"/>
        <v>1</v>
      </c>
      <c r="D284" s="675"/>
      <c r="E284" s="24">
        <f t="shared" si="54"/>
        <v>1</v>
      </c>
      <c r="F284" s="675"/>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si="61"/>
        <v>0</v>
      </c>
      <c r="S284" s="321">
        <f t="shared" si="52"/>
        <v>0</v>
      </c>
    </row>
    <row r="285" spans="1:19">
      <c r="A285" s="154"/>
      <c r="B285" s="57"/>
      <c r="C285" s="24">
        <f t="shared" si="53"/>
        <v>1</v>
      </c>
      <c r="D285" s="675"/>
      <c r="E285" s="24">
        <f t="shared" si="54"/>
        <v>1</v>
      </c>
      <c r="F285" s="675"/>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si="61"/>
        <v>0</v>
      </c>
      <c r="S285" s="321">
        <f t="shared" si="52"/>
        <v>0</v>
      </c>
    </row>
    <row r="286" spans="1:19">
      <c r="A286" s="154"/>
      <c r="B286" s="57"/>
      <c r="C286" s="24">
        <f t="shared" si="53"/>
        <v>1</v>
      </c>
      <c r="D286" s="675"/>
      <c r="E286" s="24">
        <f t="shared" si="54"/>
        <v>1</v>
      </c>
      <c r="F286" s="675"/>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si="61"/>
        <v>0</v>
      </c>
      <c r="S286" s="321">
        <f t="shared" si="52"/>
        <v>0</v>
      </c>
    </row>
    <row r="287" spans="1:19">
      <c r="A287" s="154"/>
      <c r="B287" s="57"/>
      <c r="C287" s="24">
        <f t="shared" si="53"/>
        <v>1</v>
      </c>
      <c r="D287" s="675"/>
      <c r="E287" s="24">
        <f t="shared" si="54"/>
        <v>1</v>
      </c>
      <c r="F287" s="675"/>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si="61"/>
        <v>0</v>
      </c>
      <c r="S287" s="321">
        <f t="shared" ref="S287:S320" si="62">ROUND(R287*B287/10000,0)</f>
        <v>0</v>
      </c>
    </row>
    <row r="288" spans="1:19">
      <c r="A288" s="154"/>
      <c r="B288" s="57"/>
      <c r="C288" s="24">
        <f t="shared" si="53"/>
        <v>1</v>
      </c>
      <c r="D288" s="675"/>
      <c r="E288" s="24">
        <f t="shared" si="54"/>
        <v>1</v>
      </c>
      <c r="F288" s="675"/>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si="61"/>
        <v>0</v>
      </c>
      <c r="S288" s="321">
        <f t="shared" si="62"/>
        <v>0</v>
      </c>
    </row>
    <row r="289" spans="1:19">
      <c r="A289" s="154"/>
      <c r="B289" s="57"/>
      <c r="C289" s="24">
        <f t="shared" si="53"/>
        <v>1</v>
      </c>
      <c r="D289" s="675"/>
      <c r="E289" s="24">
        <f t="shared" si="54"/>
        <v>1</v>
      </c>
      <c r="F289" s="675"/>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si="61"/>
        <v>0</v>
      </c>
      <c r="S289" s="321">
        <f t="shared" si="62"/>
        <v>0</v>
      </c>
    </row>
    <row r="290" spans="1:19">
      <c r="A290" s="154"/>
      <c r="B290" s="57"/>
      <c r="C290" s="24">
        <f t="shared" si="53"/>
        <v>1</v>
      </c>
      <c r="D290" s="675"/>
      <c r="E290" s="24">
        <f t="shared" si="54"/>
        <v>1</v>
      </c>
      <c r="F290" s="675"/>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si="61"/>
        <v>0</v>
      </c>
      <c r="S290" s="321">
        <f t="shared" si="62"/>
        <v>0</v>
      </c>
    </row>
    <row r="291" spans="1:19">
      <c r="A291" s="154"/>
      <c r="B291" s="57"/>
      <c r="C291" s="24">
        <f t="shared" si="53"/>
        <v>1</v>
      </c>
      <c r="D291" s="675"/>
      <c r="E291" s="24">
        <f t="shared" si="54"/>
        <v>1</v>
      </c>
      <c r="F291" s="675"/>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si="61"/>
        <v>0</v>
      </c>
      <c r="S291" s="321">
        <f t="shared" si="62"/>
        <v>0</v>
      </c>
    </row>
    <row r="292" spans="1:19">
      <c r="A292" s="154"/>
      <c r="B292" s="57"/>
      <c r="C292" s="24">
        <f t="shared" si="53"/>
        <v>1</v>
      </c>
      <c r="D292" s="675"/>
      <c r="E292" s="24">
        <f t="shared" si="54"/>
        <v>1</v>
      </c>
      <c r="F292" s="675"/>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si="61"/>
        <v>0</v>
      </c>
      <c r="S292" s="321">
        <f t="shared" si="62"/>
        <v>0</v>
      </c>
    </row>
    <row r="293" spans="1:19">
      <c r="A293" s="154"/>
      <c r="B293" s="57"/>
      <c r="C293" s="24">
        <f t="shared" si="53"/>
        <v>1</v>
      </c>
      <c r="D293" s="675"/>
      <c r="E293" s="24">
        <f t="shared" si="54"/>
        <v>1</v>
      </c>
      <c r="F293" s="675"/>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si="61"/>
        <v>0</v>
      </c>
      <c r="S293" s="321">
        <f t="shared" si="62"/>
        <v>0</v>
      </c>
    </row>
    <row r="294" spans="1:19">
      <c r="A294" s="154"/>
      <c r="B294" s="57"/>
      <c r="C294" s="24">
        <f t="shared" si="53"/>
        <v>1</v>
      </c>
      <c r="D294" s="675"/>
      <c r="E294" s="24">
        <f t="shared" si="54"/>
        <v>1</v>
      </c>
      <c r="F294" s="675"/>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si="61"/>
        <v>0</v>
      </c>
      <c r="S294" s="321">
        <f t="shared" si="62"/>
        <v>0</v>
      </c>
    </row>
    <row r="295" spans="1:19">
      <c r="A295" s="154"/>
      <c r="B295" s="57"/>
      <c r="C295" s="24">
        <f t="shared" si="53"/>
        <v>1</v>
      </c>
      <c r="D295" s="675"/>
      <c r="E295" s="24">
        <f t="shared" si="54"/>
        <v>1</v>
      </c>
      <c r="F295" s="675"/>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si="61"/>
        <v>0</v>
      </c>
      <c r="S295" s="321">
        <f t="shared" si="62"/>
        <v>0</v>
      </c>
    </row>
    <row r="296" spans="1:19">
      <c r="A296" s="154"/>
      <c r="B296" s="57"/>
      <c r="C296" s="24">
        <f t="shared" si="53"/>
        <v>1</v>
      </c>
      <c r="D296" s="675"/>
      <c r="E296" s="24">
        <f t="shared" si="54"/>
        <v>1</v>
      </c>
      <c r="F296" s="675"/>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si="61"/>
        <v>0</v>
      </c>
      <c r="S296" s="321">
        <f t="shared" si="62"/>
        <v>0</v>
      </c>
    </row>
    <row r="297" spans="1:19">
      <c r="A297" s="154"/>
      <c r="B297" s="57"/>
      <c r="C297" s="24">
        <f t="shared" si="53"/>
        <v>1</v>
      </c>
      <c r="D297" s="675"/>
      <c r="E297" s="24">
        <f t="shared" si="54"/>
        <v>1</v>
      </c>
      <c r="F297" s="675"/>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si="61"/>
        <v>0</v>
      </c>
      <c r="S297" s="321">
        <f t="shared" si="62"/>
        <v>0</v>
      </c>
    </row>
    <row r="298" spans="1:19">
      <c r="A298" s="154"/>
      <c r="B298" s="57"/>
      <c r="C298" s="24">
        <f t="shared" si="53"/>
        <v>1</v>
      </c>
      <c r="D298" s="675"/>
      <c r="E298" s="24">
        <f t="shared" si="54"/>
        <v>1</v>
      </c>
      <c r="F298" s="675"/>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si="61"/>
        <v>0</v>
      </c>
      <c r="S298" s="321">
        <f t="shared" si="62"/>
        <v>0</v>
      </c>
    </row>
    <row r="299" spans="1:19">
      <c r="A299" s="154"/>
      <c r="B299" s="57"/>
      <c r="C299" s="24">
        <f t="shared" si="53"/>
        <v>1</v>
      </c>
      <c r="D299" s="675"/>
      <c r="E299" s="24">
        <f t="shared" si="54"/>
        <v>1</v>
      </c>
      <c r="F299" s="675"/>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si="61"/>
        <v>0</v>
      </c>
      <c r="S299" s="321">
        <f t="shared" si="62"/>
        <v>0</v>
      </c>
    </row>
    <row r="300" spans="1:19">
      <c r="A300" s="154"/>
      <c r="B300" s="57"/>
      <c r="C300" s="24">
        <f t="shared" si="53"/>
        <v>1</v>
      </c>
      <c r="D300" s="675"/>
      <c r="E300" s="24">
        <f t="shared" si="54"/>
        <v>1</v>
      </c>
      <c r="F300" s="675"/>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si="61"/>
        <v>0</v>
      </c>
      <c r="S300" s="321">
        <f t="shared" si="62"/>
        <v>0</v>
      </c>
    </row>
    <row r="301" spans="1:19">
      <c r="A301" s="154"/>
      <c r="B301" s="57"/>
      <c r="C301" s="24">
        <f t="shared" si="53"/>
        <v>1</v>
      </c>
      <c r="D301" s="675"/>
      <c r="E301" s="24">
        <f t="shared" si="54"/>
        <v>1</v>
      </c>
      <c r="F301" s="675"/>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si="61"/>
        <v>0</v>
      </c>
      <c r="S301" s="321">
        <f t="shared" si="62"/>
        <v>0</v>
      </c>
    </row>
    <row r="302" spans="1:19">
      <c r="A302" s="154"/>
      <c r="B302" s="57"/>
      <c r="C302" s="24">
        <f t="shared" si="53"/>
        <v>1</v>
      </c>
      <c r="D302" s="675"/>
      <c r="E302" s="24">
        <f t="shared" si="54"/>
        <v>1</v>
      </c>
      <c r="F302" s="675"/>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si="61"/>
        <v>0</v>
      </c>
      <c r="S302" s="321">
        <f t="shared" si="62"/>
        <v>0</v>
      </c>
    </row>
    <row r="303" spans="1:19">
      <c r="A303" s="154"/>
      <c r="B303" s="57"/>
      <c r="C303" s="24">
        <f t="shared" si="53"/>
        <v>1</v>
      </c>
      <c r="D303" s="675"/>
      <c r="E303" s="24">
        <f t="shared" si="54"/>
        <v>1</v>
      </c>
      <c r="F303" s="675"/>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si="61"/>
        <v>0</v>
      </c>
      <c r="S303" s="321">
        <f t="shared" si="62"/>
        <v>0</v>
      </c>
    </row>
    <row r="304" spans="1:19">
      <c r="A304" s="154"/>
      <c r="B304" s="57"/>
      <c r="C304" s="24">
        <f t="shared" si="53"/>
        <v>1</v>
      </c>
      <c r="D304" s="675"/>
      <c r="E304" s="24">
        <f t="shared" si="54"/>
        <v>1</v>
      </c>
      <c r="F304" s="675"/>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si="61"/>
        <v>0</v>
      </c>
      <c r="S304" s="321">
        <f t="shared" si="62"/>
        <v>0</v>
      </c>
    </row>
    <row r="305" spans="1:19">
      <c r="A305" s="154"/>
      <c r="B305" s="57"/>
      <c r="C305" s="24">
        <f t="shared" si="53"/>
        <v>1</v>
      </c>
      <c r="D305" s="675"/>
      <c r="E305" s="24">
        <f t="shared" si="54"/>
        <v>1</v>
      </c>
      <c r="F305" s="675"/>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si="61"/>
        <v>0</v>
      </c>
      <c r="S305" s="321">
        <f t="shared" si="62"/>
        <v>0</v>
      </c>
    </row>
    <row r="306" spans="1:19">
      <c r="A306" s="154"/>
      <c r="B306" s="57"/>
      <c r="C306" s="24">
        <f t="shared" si="53"/>
        <v>1</v>
      </c>
      <c r="D306" s="675"/>
      <c r="E306" s="24">
        <f t="shared" si="54"/>
        <v>1</v>
      </c>
      <c r="F306" s="675"/>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si="61"/>
        <v>0</v>
      </c>
      <c r="S306" s="321">
        <f t="shared" si="62"/>
        <v>0</v>
      </c>
    </row>
    <row r="307" spans="1:19">
      <c r="A307" s="154"/>
      <c r="B307" s="57"/>
      <c r="C307" s="24">
        <f t="shared" si="53"/>
        <v>1</v>
      </c>
      <c r="D307" s="675"/>
      <c r="E307" s="24">
        <f t="shared" si="54"/>
        <v>1</v>
      </c>
      <c r="F307" s="675"/>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si="61"/>
        <v>0</v>
      </c>
      <c r="S307" s="321">
        <f t="shared" si="62"/>
        <v>0</v>
      </c>
    </row>
    <row r="308" spans="1:19">
      <c r="A308" s="154"/>
      <c r="B308" s="57"/>
      <c r="C308" s="24">
        <f t="shared" si="53"/>
        <v>1</v>
      </c>
      <c r="D308" s="675"/>
      <c r="E308" s="24">
        <f t="shared" si="54"/>
        <v>1</v>
      </c>
      <c r="F308" s="675"/>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si="61"/>
        <v>0</v>
      </c>
      <c r="S308" s="321">
        <f t="shared" si="62"/>
        <v>0</v>
      </c>
    </row>
    <row r="309" spans="1:19">
      <c r="A309" s="154"/>
      <c r="B309" s="57"/>
      <c r="C309" s="24">
        <f t="shared" si="53"/>
        <v>1</v>
      </c>
      <c r="D309" s="675"/>
      <c r="E309" s="24">
        <f t="shared" si="54"/>
        <v>1</v>
      </c>
      <c r="F309" s="675"/>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si="61"/>
        <v>0</v>
      </c>
      <c r="S309" s="321">
        <f t="shared" si="62"/>
        <v>0</v>
      </c>
    </row>
    <row r="310" spans="1:19">
      <c r="A310" s="154"/>
      <c r="B310" s="57"/>
      <c r="C310" s="24">
        <f t="shared" si="53"/>
        <v>1</v>
      </c>
      <c r="D310" s="675"/>
      <c r="E310" s="24">
        <f t="shared" si="54"/>
        <v>1</v>
      </c>
      <c r="F310" s="675"/>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si="61"/>
        <v>0</v>
      </c>
      <c r="S310" s="321">
        <f t="shared" si="62"/>
        <v>0</v>
      </c>
    </row>
    <row r="311" spans="1:19">
      <c r="A311" s="154"/>
      <c r="B311" s="57"/>
      <c r="C311" s="24">
        <f t="shared" si="53"/>
        <v>1</v>
      </c>
      <c r="D311" s="675"/>
      <c r="E311" s="24">
        <f t="shared" si="54"/>
        <v>1</v>
      </c>
      <c r="F311" s="675"/>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si="61"/>
        <v>0</v>
      </c>
      <c r="S311" s="321">
        <f t="shared" si="62"/>
        <v>0</v>
      </c>
    </row>
    <row r="312" spans="1:19">
      <c r="A312" s="154"/>
      <c r="B312" s="57"/>
      <c r="C312" s="24">
        <f t="shared" si="53"/>
        <v>1</v>
      </c>
      <c r="D312" s="675"/>
      <c r="E312" s="24">
        <f t="shared" si="54"/>
        <v>1</v>
      </c>
      <c r="F312" s="675"/>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si="61"/>
        <v>0</v>
      </c>
      <c r="S312" s="321">
        <f t="shared" si="62"/>
        <v>0</v>
      </c>
    </row>
    <row r="313" spans="1:19">
      <c r="A313" s="154"/>
      <c r="B313" s="57"/>
      <c r="C313" s="24">
        <f t="shared" si="53"/>
        <v>1</v>
      </c>
      <c r="D313" s="675"/>
      <c r="E313" s="24">
        <f t="shared" si="54"/>
        <v>1</v>
      </c>
      <c r="F313" s="675"/>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si="61"/>
        <v>0</v>
      </c>
      <c r="S313" s="321">
        <f t="shared" si="62"/>
        <v>0</v>
      </c>
    </row>
    <row r="314" spans="1:19">
      <c r="A314" s="154"/>
      <c r="B314" s="57"/>
      <c r="C314" s="24">
        <f t="shared" si="53"/>
        <v>1</v>
      </c>
      <c r="D314" s="675"/>
      <c r="E314" s="24">
        <f t="shared" si="54"/>
        <v>1</v>
      </c>
      <c r="F314" s="675"/>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si="61"/>
        <v>0</v>
      </c>
      <c r="S314" s="321">
        <f t="shared" si="62"/>
        <v>0</v>
      </c>
    </row>
    <row r="315" spans="1:19">
      <c r="A315" s="154"/>
      <c r="B315" s="57"/>
      <c r="C315" s="24">
        <f t="shared" si="53"/>
        <v>1</v>
      </c>
      <c r="D315" s="675"/>
      <c r="E315" s="24">
        <f t="shared" si="54"/>
        <v>1</v>
      </c>
      <c r="F315" s="675"/>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si="61"/>
        <v>0</v>
      </c>
      <c r="S315" s="321">
        <f t="shared" si="62"/>
        <v>0</v>
      </c>
    </row>
    <row r="316" spans="1:19">
      <c r="A316" s="154"/>
      <c r="B316" s="57"/>
      <c r="C316" s="24">
        <f t="shared" si="53"/>
        <v>1</v>
      </c>
      <c r="D316" s="675"/>
      <c r="E316" s="24">
        <f t="shared" si="54"/>
        <v>1</v>
      </c>
      <c r="F316" s="675"/>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si="61"/>
        <v>0</v>
      </c>
      <c r="S316" s="321">
        <f t="shared" si="62"/>
        <v>0</v>
      </c>
    </row>
    <row r="317" spans="1:19">
      <c r="A317" s="154"/>
      <c r="B317" s="57"/>
      <c r="C317" s="24">
        <f t="shared" si="53"/>
        <v>1</v>
      </c>
      <c r="D317" s="675"/>
      <c r="E317" s="24">
        <f t="shared" si="54"/>
        <v>1</v>
      </c>
      <c r="F317" s="675"/>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si="61"/>
        <v>0</v>
      </c>
      <c r="S317" s="321">
        <f t="shared" si="62"/>
        <v>0</v>
      </c>
    </row>
    <row r="318" spans="1:19">
      <c r="A318" s="154"/>
      <c r="B318" s="57"/>
      <c r="C318" s="24">
        <f t="shared" si="53"/>
        <v>1</v>
      </c>
      <c r="D318" s="675"/>
      <c r="E318" s="24">
        <f t="shared" si="54"/>
        <v>1</v>
      </c>
      <c r="F318" s="675"/>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si="61"/>
        <v>0</v>
      </c>
      <c r="S318" s="321">
        <f t="shared" si="62"/>
        <v>0</v>
      </c>
    </row>
    <row r="319" spans="1:19">
      <c r="A319" s="154"/>
      <c r="B319" s="57"/>
      <c r="C319" s="24">
        <f t="shared" si="53"/>
        <v>1</v>
      </c>
      <c r="D319" s="675"/>
      <c r="E319" s="24">
        <f t="shared" si="54"/>
        <v>1</v>
      </c>
      <c r="F319" s="675"/>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si="61"/>
        <v>0</v>
      </c>
      <c r="S319" s="321">
        <f t="shared" si="62"/>
        <v>0</v>
      </c>
    </row>
    <row r="320" spans="1:19">
      <c r="A320" s="154"/>
      <c r="B320" s="57"/>
      <c r="C320" s="24">
        <f t="shared" si="53"/>
        <v>1</v>
      </c>
      <c r="D320" s="675"/>
      <c r="E320" s="24">
        <f t="shared" si="54"/>
        <v>1</v>
      </c>
      <c r="F320" s="675"/>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si="61"/>
        <v>0</v>
      </c>
      <c r="S320" s="321">
        <f t="shared" si="62"/>
        <v>0</v>
      </c>
    </row>
    <row r="321" spans="1:19">
      <c r="A321" s="154"/>
      <c r="B321" s="57"/>
      <c r="C321" s="24">
        <f t="shared" si="53"/>
        <v>1</v>
      </c>
      <c r="D321" s="675"/>
      <c r="E321" s="24">
        <f t="shared" si="54"/>
        <v>1</v>
      </c>
      <c r="F321" s="675"/>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si="61"/>
        <v>0</v>
      </c>
      <c r="S321" s="321">
        <f t="shared" ref="S321:S384" si="63">ROUND(R321*B321/10000,0)</f>
        <v>0</v>
      </c>
    </row>
    <row r="322" spans="1:19">
      <c r="A322" s="154"/>
      <c r="B322" s="57"/>
      <c r="C322" s="24">
        <f t="shared" si="53"/>
        <v>1</v>
      </c>
      <c r="D322" s="675"/>
      <c r="E322" s="24">
        <f t="shared" si="54"/>
        <v>1</v>
      </c>
      <c r="F322" s="675"/>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si="61"/>
        <v>0</v>
      </c>
      <c r="S322" s="321">
        <f t="shared" si="63"/>
        <v>0</v>
      </c>
    </row>
    <row r="323" spans="1:19">
      <c r="A323" s="154"/>
      <c r="B323" s="57"/>
      <c r="C323" s="24">
        <f t="shared" si="53"/>
        <v>1</v>
      </c>
      <c r="D323" s="675"/>
      <c r="E323" s="24">
        <f t="shared" si="54"/>
        <v>1</v>
      </c>
      <c r="F323" s="675"/>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si="61"/>
        <v>0</v>
      </c>
      <c r="S323" s="321">
        <f t="shared" si="63"/>
        <v>0</v>
      </c>
    </row>
    <row r="324" spans="1:19">
      <c r="A324" s="154"/>
      <c r="B324" s="57"/>
      <c r="C324" s="24">
        <f t="shared" si="53"/>
        <v>1</v>
      </c>
      <c r="D324" s="675"/>
      <c r="E324" s="24">
        <f t="shared" si="54"/>
        <v>1</v>
      </c>
      <c r="F324" s="675"/>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si="61"/>
        <v>0</v>
      </c>
      <c r="S324" s="321">
        <f t="shared" si="63"/>
        <v>0</v>
      </c>
    </row>
    <row r="325" spans="1:19">
      <c r="A325" s="154"/>
      <c r="B325" s="57"/>
      <c r="C325" s="24">
        <f t="shared" si="53"/>
        <v>1</v>
      </c>
      <c r="D325" s="675"/>
      <c r="E325" s="24">
        <f t="shared" si="54"/>
        <v>1</v>
      </c>
      <c r="F325" s="675"/>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si="61"/>
        <v>0</v>
      </c>
      <c r="S325" s="321">
        <f t="shared" si="63"/>
        <v>0</v>
      </c>
    </row>
    <row r="326" spans="1:19">
      <c r="A326" s="154"/>
      <c r="B326" s="57"/>
      <c r="C326" s="24">
        <f t="shared" si="53"/>
        <v>1</v>
      </c>
      <c r="D326" s="675"/>
      <c r="E326" s="24">
        <f t="shared" si="54"/>
        <v>1</v>
      </c>
      <c r="F326" s="675"/>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si="61"/>
        <v>0</v>
      </c>
      <c r="S326" s="321">
        <f t="shared" si="63"/>
        <v>0</v>
      </c>
    </row>
    <row r="327" spans="1:19">
      <c r="A327" s="154"/>
      <c r="B327" s="57"/>
      <c r="C327" s="24">
        <f t="shared" si="53"/>
        <v>1</v>
      </c>
      <c r="D327" s="675"/>
      <c r="E327" s="24">
        <f t="shared" si="54"/>
        <v>1</v>
      </c>
      <c r="F327" s="675"/>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si="61"/>
        <v>0</v>
      </c>
      <c r="S327" s="321">
        <f t="shared" si="63"/>
        <v>0</v>
      </c>
    </row>
    <row r="328" spans="1:19">
      <c r="A328" s="154"/>
      <c r="B328" s="57"/>
      <c r="C328" s="24">
        <f t="shared" si="53"/>
        <v>1</v>
      </c>
      <c r="D328" s="675"/>
      <c r="E328" s="24">
        <f t="shared" si="54"/>
        <v>1</v>
      </c>
      <c r="F328" s="675"/>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si="61"/>
        <v>0</v>
      </c>
      <c r="S328" s="321">
        <f t="shared" si="63"/>
        <v>0</v>
      </c>
    </row>
    <row r="329" spans="1:19">
      <c r="A329" s="154"/>
      <c r="B329" s="57"/>
      <c r="C329" s="24">
        <f t="shared" si="53"/>
        <v>1</v>
      </c>
      <c r="D329" s="675"/>
      <c r="E329" s="24">
        <f t="shared" si="54"/>
        <v>1</v>
      </c>
      <c r="F329" s="675"/>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si="61"/>
        <v>0</v>
      </c>
      <c r="S329" s="321">
        <f t="shared" si="63"/>
        <v>0</v>
      </c>
    </row>
    <row r="330" spans="1:19">
      <c r="A330" s="154"/>
      <c r="B330" s="57"/>
      <c r="C330" s="24">
        <f t="shared" si="53"/>
        <v>1</v>
      </c>
      <c r="D330" s="675"/>
      <c r="E330" s="24">
        <f t="shared" si="54"/>
        <v>1</v>
      </c>
      <c r="F330" s="675"/>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si="61"/>
        <v>0</v>
      </c>
      <c r="S330" s="321">
        <f t="shared" si="63"/>
        <v>0</v>
      </c>
    </row>
    <row r="331" spans="1:19">
      <c r="A331" s="154"/>
      <c r="B331" s="57"/>
      <c r="C331" s="24">
        <f t="shared" si="53"/>
        <v>1</v>
      </c>
      <c r="D331" s="675"/>
      <c r="E331" s="24">
        <f t="shared" si="54"/>
        <v>1</v>
      </c>
      <c r="F331" s="675"/>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si="61"/>
        <v>0</v>
      </c>
      <c r="S331" s="321">
        <f t="shared" si="63"/>
        <v>0</v>
      </c>
    </row>
    <row r="332" spans="1:19">
      <c r="A332" s="154"/>
      <c r="B332" s="57"/>
      <c r="C332" s="24">
        <f t="shared" si="53"/>
        <v>1</v>
      </c>
      <c r="D332" s="675"/>
      <c r="E332" s="24">
        <f t="shared" si="54"/>
        <v>1</v>
      </c>
      <c r="F332" s="675"/>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si="61"/>
        <v>0</v>
      </c>
      <c r="S332" s="321">
        <f t="shared" si="63"/>
        <v>0</v>
      </c>
    </row>
    <row r="333" spans="1:19">
      <c r="A333" s="154"/>
      <c r="B333" s="57"/>
      <c r="C333" s="24">
        <f t="shared" si="53"/>
        <v>1</v>
      </c>
      <c r="D333" s="675"/>
      <c r="E333" s="24">
        <f t="shared" si="54"/>
        <v>1</v>
      </c>
      <c r="F333" s="675"/>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si="61"/>
        <v>0</v>
      </c>
      <c r="S333" s="321">
        <f t="shared" si="63"/>
        <v>0</v>
      </c>
    </row>
    <row r="334" spans="1:19">
      <c r="A334" s="154"/>
      <c r="B334" s="57"/>
      <c r="C334" s="24">
        <f t="shared" si="53"/>
        <v>1</v>
      </c>
      <c r="D334" s="675"/>
      <c r="E334" s="24">
        <f t="shared" si="54"/>
        <v>1</v>
      </c>
      <c r="F334" s="675"/>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si="61"/>
        <v>0</v>
      </c>
      <c r="S334" s="321">
        <f t="shared" si="63"/>
        <v>0</v>
      </c>
    </row>
    <row r="335" spans="1:19">
      <c r="A335" s="154"/>
      <c r="B335" s="57"/>
      <c r="C335" s="24">
        <f t="shared" si="53"/>
        <v>1</v>
      </c>
      <c r="D335" s="675"/>
      <c r="E335" s="24">
        <f t="shared" si="54"/>
        <v>1</v>
      </c>
      <c r="F335" s="675"/>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si="61"/>
        <v>0</v>
      </c>
      <c r="S335" s="321">
        <f t="shared" si="63"/>
        <v>0</v>
      </c>
    </row>
    <row r="336" spans="1:19">
      <c r="A336" s="154"/>
      <c r="B336" s="57"/>
      <c r="C336" s="24">
        <f t="shared" si="53"/>
        <v>1</v>
      </c>
      <c r="D336" s="675"/>
      <c r="E336" s="24">
        <f t="shared" si="54"/>
        <v>1</v>
      </c>
      <c r="F336" s="675"/>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si="61"/>
        <v>0</v>
      </c>
      <c r="S336" s="321">
        <f t="shared" si="63"/>
        <v>0</v>
      </c>
    </row>
    <row r="337" spans="1:19">
      <c r="A337" s="154"/>
      <c r="B337" s="57"/>
      <c r="C337" s="24">
        <f t="shared" si="53"/>
        <v>1</v>
      </c>
      <c r="D337" s="675"/>
      <c r="E337" s="24">
        <f t="shared" si="54"/>
        <v>1</v>
      </c>
      <c r="F337" s="675"/>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si="61"/>
        <v>0</v>
      </c>
      <c r="S337" s="321">
        <f t="shared" si="63"/>
        <v>0</v>
      </c>
    </row>
    <row r="338" spans="1:19">
      <c r="A338" s="154"/>
      <c r="B338" s="57"/>
      <c r="C338" s="24">
        <f t="shared" si="53"/>
        <v>1</v>
      </c>
      <c r="D338" s="675"/>
      <c r="E338" s="24">
        <f t="shared" si="54"/>
        <v>1</v>
      </c>
      <c r="F338" s="675"/>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si="61"/>
        <v>0</v>
      </c>
      <c r="S338" s="321">
        <f t="shared" si="63"/>
        <v>0</v>
      </c>
    </row>
    <row r="339" spans="1:19">
      <c r="A339" s="154"/>
      <c r="B339" s="57"/>
      <c r="C339" s="24">
        <f t="shared" si="53"/>
        <v>1</v>
      </c>
      <c r="D339" s="675"/>
      <c r="E339" s="24">
        <f t="shared" si="54"/>
        <v>1</v>
      </c>
      <c r="F339" s="675"/>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si="61"/>
        <v>0</v>
      </c>
      <c r="S339" s="321">
        <f t="shared" si="63"/>
        <v>0</v>
      </c>
    </row>
    <row r="340" spans="1:19">
      <c r="A340" s="154"/>
      <c r="B340" s="57"/>
      <c r="C340" s="24">
        <f t="shared" si="53"/>
        <v>1</v>
      </c>
      <c r="D340" s="675"/>
      <c r="E340" s="24">
        <f t="shared" si="54"/>
        <v>1</v>
      </c>
      <c r="F340" s="675"/>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si="61"/>
        <v>0</v>
      </c>
      <c r="S340" s="321">
        <f t="shared" si="63"/>
        <v>0</v>
      </c>
    </row>
    <row r="341" spans="1:19">
      <c r="A341" s="154"/>
      <c r="B341" s="57"/>
      <c r="C341" s="24">
        <f t="shared" si="53"/>
        <v>1</v>
      </c>
      <c r="D341" s="675"/>
      <c r="E341" s="24">
        <f t="shared" si="54"/>
        <v>1</v>
      </c>
      <c r="F341" s="675"/>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si="61"/>
        <v>0</v>
      </c>
      <c r="S341" s="321">
        <f t="shared" si="63"/>
        <v>0</v>
      </c>
    </row>
    <row r="342" spans="1:19">
      <c r="A342" s="154"/>
      <c r="B342" s="57"/>
      <c r="C342" s="24">
        <f t="shared" si="53"/>
        <v>1</v>
      </c>
      <c r="D342" s="675"/>
      <c r="E342" s="24">
        <f t="shared" si="54"/>
        <v>1</v>
      </c>
      <c r="F342" s="675"/>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si="61"/>
        <v>0</v>
      </c>
      <c r="S342" s="321">
        <f t="shared" si="63"/>
        <v>0</v>
      </c>
    </row>
    <row r="343" spans="1:19">
      <c r="A343" s="154"/>
      <c r="B343" s="57"/>
      <c r="C343" s="24">
        <f t="shared" si="53"/>
        <v>1</v>
      </c>
      <c r="D343" s="675"/>
      <c r="E343" s="24">
        <f t="shared" si="54"/>
        <v>1</v>
      </c>
      <c r="F343" s="675"/>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si="61"/>
        <v>0</v>
      </c>
      <c r="S343" s="321">
        <f t="shared" si="63"/>
        <v>0</v>
      </c>
    </row>
    <row r="344" spans="1:19">
      <c r="A344" s="154"/>
      <c r="B344" s="57"/>
      <c r="C344" s="24">
        <f t="shared" si="53"/>
        <v>1</v>
      </c>
      <c r="D344" s="675"/>
      <c r="E344" s="24">
        <f t="shared" si="54"/>
        <v>1</v>
      </c>
      <c r="F344" s="675"/>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si="61"/>
        <v>0</v>
      </c>
      <c r="S344" s="321">
        <f t="shared" si="63"/>
        <v>0</v>
      </c>
    </row>
    <row r="345" spans="1:19">
      <c r="A345" s="154"/>
      <c r="B345" s="57"/>
      <c r="C345" s="24">
        <f t="shared" si="53"/>
        <v>1</v>
      </c>
      <c r="D345" s="675"/>
      <c r="E345" s="24">
        <f t="shared" si="54"/>
        <v>1</v>
      </c>
      <c r="F345" s="675"/>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si="61"/>
        <v>0</v>
      </c>
      <c r="S345" s="321">
        <f t="shared" si="63"/>
        <v>0</v>
      </c>
    </row>
    <row r="346" spans="1:19">
      <c r="A346" s="154"/>
      <c r="B346" s="57"/>
      <c r="C346" s="24">
        <f t="shared" ref="C346:C409" si="64">IF(B346="",1,(LOOKUP(B346,$3:$3,$4:$4)-LOOKUP($B$24,$3:$3,$4:$4)+100)/100)</f>
        <v>1</v>
      </c>
      <c r="D346" s="675"/>
      <c r="E346" s="24">
        <f t="shared" ref="E346:E409" si="65">(SUMIF($5:$5,D346,$6:$6)-SUMIF($5:$5,$D$24,$6:$6)+100)/100</f>
        <v>1</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si="72">IF(B346="",0,ROUND($R$24*C346*E346*G346*I346*K346*M346*O346*Q346,0))</f>
        <v>0</v>
      </c>
      <c r="S346" s="321">
        <f t="shared" si="63"/>
        <v>0</v>
      </c>
    </row>
    <row r="347" spans="1:19">
      <c r="A347" s="154"/>
      <c r="B347" s="57"/>
      <c r="C347" s="24">
        <f t="shared" si="64"/>
        <v>1</v>
      </c>
      <c r="D347" s="675"/>
      <c r="E347" s="24">
        <f t="shared" si="65"/>
        <v>1</v>
      </c>
      <c r="F347" s="675"/>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si="72"/>
        <v>0</v>
      </c>
      <c r="S347" s="321">
        <f t="shared" si="63"/>
        <v>0</v>
      </c>
    </row>
    <row r="348" spans="1:19">
      <c r="A348" s="154"/>
      <c r="B348" s="57"/>
      <c r="C348" s="24">
        <f t="shared" si="64"/>
        <v>1</v>
      </c>
      <c r="D348" s="675"/>
      <c r="E348" s="24">
        <f t="shared" si="65"/>
        <v>1</v>
      </c>
      <c r="F348" s="675"/>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si="72"/>
        <v>0</v>
      </c>
      <c r="S348" s="321">
        <f t="shared" si="63"/>
        <v>0</v>
      </c>
    </row>
    <row r="349" spans="1:19">
      <c r="A349" s="154"/>
      <c r="B349" s="57"/>
      <c r="C349" s="24">
        <f t="shared" si="64"/>
        <v>1</v>
      </c>
      <c r="D349" s="675"/>
      <c r="E349" s="24">
        <f t="shared" si="65"/>
        <v>1</v>
      </c>
      <c r="F349" s="675"/>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si="72"/>
        <v>0</v>
      </c>
      <c r="S349" s="321">
        <f t="shared" si="63"/>
        <v>0</v>
      </c>
    </row>
    <row r="350" spans="1:19">
      <c r="A350" s="154"/>
      <c r="B350" s="57"/>
      <c r="C350" s="24">
        <f t="shared" si="64"/>
        <v>1</v>
      </c>
      <c r="D350" s="675"/>
      <c r="E350" s="24">
        <f t="shared" si="65"/>
        <v>1</v>
      </c>
      <c r="F350" s="675"/>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si="72"/>
        <v>0</v>
      </c>
      <c r="S350" s="321">
        <f t="shared" si="63"/>
        <v>0</v>
      </c>
    </row>
    <row r="351" spans="1:19">
      <c r="A351" s="154"/>
      <c r="B351" s="57"/>
      <c r="C351" s="24">
        <f t="shared" si="64"/>
        <v>1</v>
      </c>
      <c r="D351" s="675"/>
      <c r="E351" s="24">
        <f t="shared" si="65"/>
        <v>1</v>
      </c>
      <c r="F351" s="675"/>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si="72"/>
        <v>0</v>
      </c>
      <c r="S351" s="321">
        <f t="shared" si="63"/>
        <v>0</v>
      </c>
    </row>
    <row r="352" spans="1:19">
      <c r="A352" s="154"/>
      <c r="B352" s="57"/>
      <c r="C352" s="24">
        <f t="shared" si="64"/>
        <v>1</v>
      </c>
      <c r="D352" s="675"/>
      <c r="E352" s="24">
        <f t="shared" si="65"/>
        <v>1</v>
      </c>
      <c r="F352" s="675"/>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si="72"/>
        <v>0</v>
      </c>
      <c r="S352" s="321">
        <f t="shared" si="63"/>
        <v>0</v>
      </c>
    </row>
    <row r="353" spans="1:19">
      <c r="A353" s="154"/>
      <c r="B353" s="57"/>
      <c r="C353" s="24">
        <f t="shared" si="64"/>
        <v>1</v>
      </c>
      <c r="D353" s="675"/>
      <c r="E353" s="24">
        <f t="shared" si="65"/>
        <v>1</v>
      </c>
      <c r="F353" s="675"/>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si="72"/>
        <v>0</v>
      </c>
      <c r="S353" s="321">
        <f t="shared" si="63"/>
        <v>0</v>
      </c>
    </row>
    <row r="354" spans="1:19">
      <c r="A354" s="154"/>
      <c r="B354" s="57"/>
      <c r="C354" s="24">
        <f t="shared" si="64"/>
        <v>1</v>
      </c>
      <c r="D354" s="675"/>
      <c r="E354" s="24">
        <f t="shared" si="65"/>
        <v>1</v>
      </c>
      <c r="F354" s="675"/>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si="72"/>
        <v>0</v>
      </c>
      <c r="S354" s="321">
        <f t="shared" si="63"/>
        <v>0</v>
      </c>
    </row>
    <row r="355" spans="1:19">
      <c r="A355" s="154"/>
      <c r="B355" s="57"/>
      <c r="C355" s="24">
        <f t="shared" si="64"/>
        <v>1</v>
      </c>
      <c r="D355" s="675"/>
      <c r="E355" s="24">
        <f t="shared" si="65"/>
        <v>1</v>
      </c>
      <c r="F355" s="675"/>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si="72"/>
        <v>0</v>
      </c>
      <c r="S355" s="321">
        <f t="shared" si="63"/>
        <v>0</v>
      </c>
    </row>
    <row r="356" spans="1:19">
      <c r="A356" s="154"/>
      <c r="B356" s="57"/>
      <c r="C356" s="24">
        <f t="shared" si="64"/>
        <v>1</v>
      </c>
      <c r="D356" s="675"/>
      <c r="E356" s="24">
        <f t="shared" si="65"/>
        <v>1</v>
      </c>
      <c r="F356" s="675"/>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si="72"/>
        <v>0</v>
      </c>
      <c r="S356" s="321">
        <f t="shared" si="63"/>
        <v>0</v>
      </c>
    </row>
    <row r="357" spans="1:19">
      <c r="A357" s="154"/>
      <c r="B357" s="57"/>
      <c r="C357" s="24">
        <f t="shared" si="64"/>
        <v>1</v>
      </c>
      <c r="D357" s="675"/>
      <c r="E357" s="24">
        <f t="shared" si="65"/>
        <v>1</v>
      </c>
      <c r="F357" s="675"/>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si="72"/>
        <v>0</v>
      </c>
      <c r="S357" s="321">
        <f t="shared" si="63"/>
        <v>0</v>
      </c>
    </row>
    <row r="358" spans="1:19">
      <c r="A358" s="154"/>
      <c r="B358" s="57"/>
      <c r="C358" s="24">
        <f t="shared" si="64"/>
        <v>1</v>
      </c>
      <c r="D358" s="675"/>
      <c r="E358" s="24">
        <f t="shared" si="65"/>
        <v>1</v>
      </c>
      <c r="F358" s="675"/>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si="72"/>
        <v>0</v>
      </c>
      <c r="S358" s="321">
        <f t="shared" si="63"/>
        <v>0</v>
      </c>
    </row>
    <row r="359" spans="1:19">
      <c r="A359" s="154"/>
      <c r="B359" s="57"/>
      <c r="C359" s="24">
        <f t="shared" si="64"/>
        <v>1</v>
      </c>
      <c r="D359" s="675"/>
      <c r="E359" s="24">
        <f t="shared" si="65"/>
        <v>1</v>
      </c>
      <c r="F359" s="675"/>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si="72"/>
        <v>0</v>
      </c>
      <c r="S359" s="321">
        <f t="shared" si="63"/>
        <v>0</v>
      </c>
    </row>
    <row r="360" spans="1:19">
      <c r="A360" s="154"/>
      <c r="B360" s="57"/>
      <c r="C360" s="24">
        <f t="shared" si="64"/>
        <v>1</v>
      </c>
      <c r="D360" s="675"/>
      <c r="E360" s="24">
        <f t="shared" si="65"/>
        <v>1</v>
      </c>
      <c r="F360" s="675"/>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si="72"/>
        <v>0</v>
      </c>
      <c r="S360" s="321">
        <f t="shared" si="63"/>
        <v>0</v>
      </c>
    </row>
    <row r="361" spans="1:19">
      <c r="A361" s="154"/>
      <c r="B361" s="57"/>
      <c r="C361" s="24">
        <f t="shared" si="64"/>
        <v>1</v>
      </c>
      <c r="D361" s="675"/>
      <c r="E361" s="24">
        <f t="shared" si="65"/>
        <v>1</v>
      </c>
      <c r="F361" s="675"/>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si="72"/>
        <v>0</v>
      </c>
      <c r="S361" s="321">
        <f t="shared" si="63"/>
        <v>0</v>
      </c>
    </row>
    <row r="362" spans="1:19">
      <c r="A362" s="154"/>
      <c r="B362" s="57"/>
      <c r="C362" s="24">
        <f t="shared" si="64"/>
        <v>1</v>
      </c>
      <c r="D362" s="675"/>
      <c r="E362" s="24">
        <f t="shared" si="65"/>
        <v>1</v>
      </c>
      <c r="F362" s="675"/>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si="72"/>
        <v>0</v>
      </c>
      <c r="S362" s="321">
        <f t="shared" si="63"/>
        <v>0</v>
      </c>
    </row>
    <row r="363" spans="1:19">
      <c r="A363" s="154"/>
      <c r="B363" s="57"/>
      <c r="C363" s="24">
        <f t="shared" si="64"/>
        <v>1</v>
      </c>
      <c r="D363" s="675"/>
      <c r="E363" s="24">
        <f t="shared" si="65"/>
        <v>1</v>
      </c>
      <c r="F363" s="675"/>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si="72"/>
        <v>0</v>
      </c>
      <c r="S363" s="321">
        <f t="shared" si="63"/>
        <v>0</v>
      </c>
    </row>
    <row r="364" spans="1:19">
      <c r="A364" s="154"/>
      <c r="B364" s="57"/>
      <c r="C364" s="24">
        <f t="shared" si="64"/>
        <v>1</v>
      </c>
      <c r="D364" s="675"/>
      <c r="E364" s="24">
        <f t="shared" si="65"/>
        <v>1</v>
      </c>
      <c r="F364" s="675"/>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si="72"/>
        <v>0</v>
      </c>
      <c r="S364" s="321">
        <f t="shared" si="63"/>
        <v>0</v>
      </c>
    </row>
    <row r="365" spans="1:19">
      <c r="A365" s="154"/>
      <c r="B365" s="57"/>
      <c r="C365" s="24">
        <f t="shared" si="64"/>
        <v>1</v>
      </c>
      <c r="D365" s="675"/>
      <c r="E365" s="24">
        <f t="shared" si="65"/>
        <v>1</v>
      </c>
      <c r="F365" s="675"/>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si="72"/>
        <v>0</v>
      </c>
      <c r="S365" s="321">
        <f t="shared" si="63"/>
        <v>0</v>
      </c>
    </row>
    <row r="366" spans="1:19">
      <c r="A366" s="154"/>
      <c r="B366" s="57"/>
      <c r="C366" s="24">
        <f t="shared" si="64"/>
        <v>1</v>
      </c>
      <c r="D366" s="675"/>
      <c r="E366" s="24">
        <f t="shared" si="65"/>
        <v>1</v>
      </c>
      <c r="F366" s="675"/>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si="72"/>
        <v>0</v>
      </c>
      <c r="S366" s="321">
        <f t="shared" si="63"/>
        <v>0</v>
      </c>
    </row>
    <row r="367" spans="1:19">
      <c r="A367" s="154"/>
      <c r="B367" s="57"/>
      <c r="C367" s="24">
        <f t="shared" si="64"/>
        <v>1</v>
      </c>
      <c r="D367" s="675"/>
      <c r="E367" s="24">
        <f t="shared" si="65"/>
        <v>1</v>
      </c>
      <c r="F367" s="675"/>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si="72"/>
        <v>0</v>
      </c>
      <c r="S367" s="321">
        <f t="shared" si="63"/>
        <v>0</v>
      </c>
    </row>
    <row r="368" spans="1:19">
      <c r="A368" s="154"/>
      <c r="B368" s="57"/>
      <c r="C368" s="24">
        <f t="shared" si="64"/>
        <v>1</v>
      </c>
      <c r="D368" s="675"/>
      <c r="E368" s="24">
        <f t="shared" si="65"/>
        <v>1</v>
      </c>
      <c r="F368" s="675"/>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si="72"/>
        <v>0</v>
      </c>
      <c r="S368" s="321">
        <f t="shared" si="63"/>
        <v>0</v>
      </c>
    </row>
    <row r="369" spans="1:19">
      <c r="A369" s="154"/>
      <c r="B369" s="57"/>
      <c r="C369" s="24">
        <f t="shared" si="64"/>
        <v>1</v>
      </c>
      <c r="D369" s="675"/>
      <c r="E369" s="24">
        <f t="shared" si="65"/>
        <v>1</v>
      </c>
      <c r="F369" s="675"/>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si="72"/>
        <v>0</v>
      </c>
      <c r="S369" s="321">
        <f t="shared" si="63"/>
        <v>0</v>
      </c>
    </row>
    <row r="370" spans="1:19">
      <c r="A370" s="154"/>
      <c r="B370" s="57"/>
      <c r="C370" s="24">
        <f t="shared" si="64"/>
        <v>1</v>
      </c>
      <c r="D370" s="675"/>
      <c r="E370" s="24">
        <f t="shared" si="65"/>
        <v>1</v>
      </c>
      <c r="F370" s="675"/>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si="72"/>
        <v>0</v>
      </c>
      <c r="S370" s="321">
        <f t="shared" si="63"/>
        <v>0</v>
      </c>
    </row>
    <row r="371" spans="1:19">
      <c r="A371" s="154"/>
      <c r="B371" s="57"/>
      <c r="C371" s="24">
        <f t="shared" si="64"/>
        <v>1</v>
      </c>
      <c r="D371" s="675"/>
      <c r="E371" s="24">
        <f t="shared" si="65"/>
        <v>1</v>
      </c>
      <c r="F371" s="675"/>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si="72"/>
        <v>0</v>
      </c>
      <c r="S371" s="321">
        <f t="shared" si="63"/>
        <v>0</v>
      </c>
    </row>
    <row r="372" spans="1:19">
      <c r="A372" s="154"/>
      <c r="B372" s="57"/>
      <c r="C372" s="24">
        <f t="shared" si="64"/>
        <v>1</v>
      </c>
      <c r="D372" s="675"/>
      <c r="E372" s="24">
        <f t="shared" si="65"/>
        <v>1</v>
      </c>
      <c r="F372" s="675"/>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si="72"/>
        <v>0</v>
      </c>
      <c r="S372" s="321">
        <f t="shared" si="63"/>
        <v>0</v>
      </c>
    </row>
    <row r="373" spans="1:19">
      <c r="A373" s="154"/>
      <c r="B373" s="57"/>
      <c r="C373" s="24">
        <f t="shared" si="64"/>
        <v>1</v>
      </c>
      <c r="D373" s="675"/>
      <c r="E373" s="24">
        <f t="shared" si="65"/>
        <v>1</v>
      </c>
      <c r="F373" s="675"/>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si="72"/>
        <v>0</v>
      </c>
      <c r="S373" s="321">
        <f t="shared" si="63"/>
        <v>0</v>
      </c>
    </row>
    <row r="374" spans="1:19">
      <c r="A374" s="154"/>
      <c r="B374" s="57"/>
      <c r="C374" s="24">
        <f t="shared" si="64"/>
        <v>1</v>
      </c>
      <c r="D374" s="675"/>
      <c r="E374" s="24">
        <f t="shared" si="65"/>
        <v>1</v>
      </c>
      <c r="F374" s="675"/>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si="72"/>
        <v>0</v>
      </c>
      <c r="S374" s="321">
        <f t="shared" si="63"/>
        <v>0</v>
      </c>
    </row>
    <row r="375" spans="1:19">
      <c r="A375" s="154"/>
      <c r="B375" s="57"/>
      <c r="C375" s="24">
        <f t="shared" si="64"/>
        <v>1</v>
      </c>
      <c r="D375" s="675"/>
      <c r="E375" s="24">
        <f t="shared" si="65"/>
        <v>1</v>
      </c>
      <c r="F375" s="675"/>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si="72"/>
        <v>0</v>
      </c>
      <c r="S375" s="321">
        <f t="shared" si="63"/>
        <v>0</v>
      </c>
    </row>
    <row r="376" spans="1:19">
      <c r="A376" s="154"/>
      <c r="B376" s="57"/>
      <c r="C376" s="24">
        <f t="shared" si="64"/>
        <v>1</v>
      </c>
      <c r="D376" s="675"/>
      <c r="E376" s="24">
        <f t="shared" si="65"/>
        <v>1</v>
      </c>
      <c r="F376" s="675"/>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si="72"/>
        <v>0</v>
      </c>
      <c r="S376" s="321">
        <f t="shared" si="63"/>
        <v>0</v>
      </c>
    </row>
    <row r="377" spans="1:19">
      <c r="A377" s="154"/>
      <c r="B377" s="57"/>
      <c r="C377" s="24">
        <f t="shared" si="64"/>
        <v>1</v>
      </c>
      <c r="D377" s="675"/>
      <c r="E377" s="24">
        <f t="shared" si="65"/>
        <v>1</v>
      </c>
      <c r="F377" s="675"/>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si="72"/>
        <v>0</v>
      </c>
      <c r="S377" s="321">
        <f t="shared" si="63"/>
        <v>0</v>
      </c>
    </row>
    <row r="378" spans="1:19">
      <c r="A378" s="154"/>
      <c r="B378" s="57"/>
      <c r="C378" s="24">
        <f t="shared" si="64"/>
        <v>1</v>
      </c>
      <c r="D378" s="675"/>
      <c r="E378" s="24">
        <f t="shared" si="65"/>
        <v>1</v>
      </c>
      <c r="F378" s="675"/>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si="72"/>
        <v>0</v>
      </c>
      <c r="S378" s="321">
        <f t="shared" si="63"/>
        <v>0</v>
      </c>
    </row>
    <row r="379" spans="1:19">
      <c r="A379" s="154"/>
      <c r="B379" s="57"/>
      <c r="C379" s="24">
        <f t="shared" si="64"/>
        <v>1</v>
      </c>
      <c r="D379" s="675"/>
      <c r="E379" s="24">
        <f t="shared" si="65"/>
        <v>1</v>
      </c>
      <c r="F379" s="675"/>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si="72"/>
        <v>0</v>
      </c>
      <c r="S379" s="321">
        <f t="shared" si="63"/>
        <v>0</v>
      </c>
    </row>
    <row r="380" spans="1:19">
      <c r="A380" s="154"/>
      <c r="B380" s="57"/>
      <c r="C380" s="24">
        <f t="shared" si="64"/>
        <v>1</v>
      </c>
      <c r="D380" s="675"/>
      <c r="E380" s="24">
        <f t="shared" si="65"/>
        <v>1</v>
      </c>
      <c r="F380" s="675"/>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si="72"/>
        <v>0</v>
      </c>
      <c r="S380" s="321">
        <f t="shared" si="63"/>
        <v>0</v>
      </c>
    </row>
    <row r="381" spans="1:19">
      <c r="A381" s="154"/>
      <c r="B381" s="57"/>
      <c r="C381" s="24">
        <f t="shared" si="64"/>
        <v>1</v>
      </c>
      <c r="D381" s="675"/>
      <c r="E381" s="24">
        <f t="shared" si="65"/>
        <v>1</v>
      </c>
      <c r="F381" s="675"/>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si="72"/>
        <v>0</v>
      </c>
      <c r="S381" s="321">
        <f t="shared" si="63"/>
        <v>0</v>
      </c>
    </row>
    <row r="382" spans="1:19">
      <c r="A382" s="154"/>
      <c r="B382" s="57"/>
      <c r="C382" s="24">
        <f t="shared" si="64"/>
        <v>1</v>
      </c>
      <c r="D382" s="675"/>
      <c r="E382" s="24">
        <f t="shared" si="65"/>
        <v>1</v>
      </c>
      <c r="F382" s="675"/>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si="72"/>
        <v>0</v>
      </c>
      <c r="S382" s="321">
        <f t="shared" si="63"/>
        <v>0</v>
      </c>
    </row>
    <row r="383" spans="1:19">
      <c r="A383" s="154"/>
      <c r="B383" s="57"/>
      <c r="C383" s="24">
        <f t="shared" si="64"/>
        <v>1</v>
      </c>
      <c r="D383" s="675"/>
      <c r="E383" s="24">
        <f t="shared" si="65"/>
        <v>1</v>
      </c>
      <c r="F383" s="675"/>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si="72"/>
        <v>0</v>
      </c>
      <c r="S383" s="321">
        <f t="shared" si="63"/>
        <v>0</v>
      </c>
    </row>
    <row r="384" spans="1:19">
      <c r="A384" s="154"/>
      <c r="B384" s="57"/>
      <c r="C384" s="24">
        <f t="shared" si="64"/>
        <v>1</v>
      </c>
      <c r="D384" s="675"/>
      <c r="E384" s="24">
        <f t="shared" si="65"/>
        <v>1</v>
      </c>
      <c r="F384" s="675"/>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si="72"/>
        <v>0</v>
      </c>
      <c r="S384" s="321">
        <f t="shared" si="63"/>
        <v>0</v>
      </c>
    </row>
    <row r="385" spans="1:19">
      <c r="A385" s="154"/>
      <c r="B385" s="57"/>
      <c r="C385" s="24">
        <f t="shared" si="64"/>
        <v>1</v>
      </c>
      <c r="D385" s="675"/>
      <c r="E385" s="24">
        <f t="shared" si="65"/>
        <v>1</v>
      </c>
      <c r="F385" s="675"/>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si="72"/>
        <v>0</v>
      </c>
      <c r="S385" s="321">
        <f t="shared" ref="S385:S422" si="73">ROUND(R385*B385/10000,0)</f>
        <v>0</v>
      </c>
    </row>
    <row r="386" spans="1:19">
      <c r="A386" s="154"/>
      <c r="B386" s="57"/>
      <c r="C386" s="24">
        <f t="shared" si="64"/>
        <v>1</v>
      </c>
      <c r="D386" s="675"/>
      <c r="E386" s="24">
        <f t="shared" si="65"/>
        <v>1</v>
      </c>
      <c r="F386" s="675"/>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si="72"/>
        <v>0</v>
      </c>
      <c r="S386" s="321">
        <f t="shared" si="73"/>
        <v>0</v>
      </c>
    </row>
    <row r="387" spans="1:19">
      <c r="A387" s="154"/>
      <c r="B387" s="57"/>
      <c r="C387" s="24">
        <f t="shared" si="64"/>
        <v>1</v>
      </c>
      <c r="D387" s="675"/>
      <c r="E387" s="24">
        <f t="shared" si="65"/>
        <v>1</v>
      </c>
      <c r="F387" s="675"/>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si="72"/>
        <v>0</v>
      </c>
      <c r="S387" s="321">
        <f t="shared" si="73"/>
        <v>0</v>
      </c>
    </row>
    <row r="388" spans="1:19">
      <c r="A388" s="154"/>
      <c r="B388" s="57"/>
      <c r="C388" s="24">
        <f t="shared" si="64"/>
        <v>1</v>
      </c>
      <c r="D388" s="675"/>
      <c r="E388" s="24">
        <f t="shared" si="65"/>
        <v>1</v>
      </c>
      <c r="F388" s="675"/>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si="72"/>
        <v>0</v>
      </c>
      <c r="S388" s="321">
        <f t="shared" si="73"/>
        <v>0</v>
      </c>
    </row>
    <row r="389" spans="1:19">
      <c r="A389" s="154"/>
      <c r="B389" s="57"/>
      <c r="C389" s="24">
        <f t="shared" si="64"/>
        <v>1</v>
      </c>
      <c r="D389" s="675"/>
      <c r="E389" s="24">
        <f t="shared" si="65"/>
        <v>1</v>
      </c>
      <c r="F389" s="675"/>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si="72"/>
        <v>0</v>
      </c>
      <c r="S389" s="321">
        <f t="shared" si="73"/>
        <v>0</v>
      </c>
    </row>
    <row r="390" spans="1:19">
      <c r="A390" s="154"/>
      <c r="B390" s="57"/>
      <c r="C390" s="24">
        <f t="shared" si="64"/>
        <v>1</v>
      </c>
      <c r="D390" s="675"/>
      <c r="E390" s="24">
        <f t="shared" si="65"/>
        <v>1</v>
      </c>
      <c r="F390" s="675"/>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si="72"/>
        <v>0</v>
      </c>
      <c r="S390" s="321">
        <f t="shared" si="73"/>
        <v>0</v>
      </c>
    </row>
    <row r="391" spans="1:19">
      <c r="A391" s="154"/>
      <c r="B391" s="57"/>
      <c r="C391" s="24">
        <f t="shared" si="64"/>
        <v>1</v>
      </c>
      <c r="D391" s="675"/>
      <c r="E391" s="24">
        <f t="shared" si="65"/>
        <v>1</v>
      </c>
      <c r="F391" s="675"/>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si="72"/>
        <v>0</v>
      </c>
      <c r="S391" s="321">
        <f t="shared" si="73"/>
        <v>0</v>
      </c>
    </row>
    <row r="392" spans="1:19">
      <c r="A392" s="154"/>
      <c r="B392" s="57"/>
      <c r="C392" s="24">
        <f t="shared" si="64"/>
        <v>1</v>
      </c>
      <c r="D392" s="675"/>
      <c r="E392" s="24">
        <f t="shared" si="65"/>
        <v>1</v>
      </c>
      <c r="F392" s="675"/>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si="72"/>
        <v>0</v>
      </c>
      <c r="S392" s="321">
        <f t="shared" si="73"/>
        <v>0</v>
      </c>
    </row>
    <row r="393" spans="1:19">
      <c r="A393" s="154"/>
      <c r="B393" s="57"/>
      <c r="C393" s="24">
        <f t="shared" si="64"/>
        <v>1</v>
      </c>
      <c r="D393" s="675"/>
      <c r="E393" s="24">
        <f t="shared" si="65"/>
        <v>1</v>
      </c>
      <c r="F393" s="675"/>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si="72"/>
        <v>0</v>
      </c>
      <c r="S393" s="321">
        <f t="shared" si="73"/>
        <v>0</v>
      </c>
    </row>
    <row r="394" spans="1:19">
      <c r="A394" s="154"/>
      <c r="B394" s="57"/>
      <c r="C394" s="24">
        <f t="shared" si="64"/>
        <v>1</v>
      </c>
      <c r="D394" s="675"/>
      <c r="E394" s="24">
        <f t="shared" si="65"/>
        <v>1</v>
      </c>
      <c r="F394" s="675"/>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si="72"/>
        <v>0</v>
      </c>
      <c r="S394" s="321">
        <f t="shared" si="73"/>
        <v>0</v>
      </c>
    </row>
    <row r="395" spans="1:19">
      <c r="A395" s="154"/>
      <c r="B395" s="57"/>
      <c r="C395" s="24">
        <f t="shared" si="64"/>
        <v>1</v>
      </c>
      <c r="D395" s="675"/>
      <c r="E395" s="24">
        <f t="shared" si="65"/>
        <v>1</v>
      </c>
      <c r="F395" s="675"/>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si="72"/>
        <v>0</v>
      </c>
      <c r="S395" s="321">
        <f t="shared" si="73"/>
        <v>0</v>
      </c>
    </row>
    <row r="396" spans="1:19">
      <c r="A396" s="154"/>
      <c r="B396" s="57"/>
      <c r="C396" s="24">
        <f t="shared" si="64"/>
        <v>1</v>
      </c>
      <c r="D396" s="675"/>
      <c r="E396" s="24">
        <f t="shared" si="65"/>
        <v>1</v>
      </c>
      <c r="F396" s="675"/>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si="72"/>
        <v>0</v>
      </c>
      <c r="S396" s="321">
        <f t="shared" si="73"/>
        <v>0</v>
      </c>
    </row>
    <row r="397" spans="1:19">
      <c r="A397" s="154"/>
      <c r="B397" s="57"/>
      <c r="C397" s="24">
        <f t="shared" si="64"/>
        <v>1</v>
      </c>
      <c r="D397" s="675"/>
      <c r="E397" s="24">
        <f t="shared" si="65"/>
        <v>1</v>
      </c>
      <c r="F397" s="675"/>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si="72"/>
        <v>0</v>
      </c>
      <c r="S397" s="321">
        <f t="shared" si="73"/>
        <v>0</v>
      </c>
    </row>
    <row r="398" spans="1:19">
      <c r="A398" s="154"/>
      <c r="B398" s="57"/>
      <c r="C398" s="24">
        <f t="shared" si="64"/>
        <v>1</v>
      </c>
      <c r="D398" s="675"/>
      <c r="E398" s="24">
        <f t="shared" si="65"/>
        <v>1</v>
      </c>
      <c r="F398" s="675"/>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si="72"/>
        <v>0</v>
      </c>
      <c r="S398" s="321">
        <f t="shared" si="73"/>
        <v>0</v>
      </c>
    </row>
    <row r="399" spans="1:19">
      <c r="A399" s="154"/>
      <c r="B399" s="57"/>
      <c r="C399" s="24">
        <f t="shared" si="64"/>
        <v>1</v>
      </c>
      <c r="D399" s="675"/>
      <c r="E399" s="24">
        <f t="shared" si="65"/>
        <v>1</v>
      </c>
      <c r="F399" s="675"/>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si="72"/>
        <v>0</v>
      </c>
      <c r="S399" s="321">
        <f t="shared" si="73"/>
        <v>0</v>
      </c>
    </row>
    <row r="400" spans="1:19">
      <c r="A400" s="154"/>
      <c r="B400" s="57"/>
      <c r="C400" s="24">
        <f t="shared" si="64"/>
        <v>1</v>
      </c>
      <c r="D400" s="675"/>
      <c r="E400" s="24">
        <f t="shared" si="65"/>
        <v>1</v>
      </c>
      <c r="F400" s="675"/>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si="72"/>
        <v>0</v>
      </c>
      <c r="S400" s="321">
        <f t="shared" si="73"/>
        <v>0</v>
      </c>
    </row>
    <row r="401" spans="1:19">
      <c r="A401" s="154"/>
      <c r="B401" s="57"/>
      <c r="C401" s="24">
        <f t="shared" si="64"/>
        <v>1</v>
      </c>
      <c r="D401" s="675"/>
      <c r="E401" s="24">
        <f t="shared" si="65"/>
        <v>1</v>
      </c>
      <c r="F401" s="675"/>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si="72"/>
        <v>0</v>
      </c>
      <c r="S401" s="321">
        <f t="shared" si="73"/>
        <v>0</v>
      </c>
    </row>
    <row r="402" spans="1:19">
      <c r="A402" s="154"/>
      <c r="B402" s="57"/>
      <c r="C402" s="24">
        <f t="shared" si="64"/>
        <v>1</v>
      </c>
      <c r="D402" s="675"/>
      <c r="E402" s="24">
        <f t="shared" si="65"/>
        <v>1</v>
      </c>
      <c r="F402" s="675"/>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si="72"/>
        <v>0</v>
      </c>
      <c r="S402" s="321">
        <f t="shared" si="73"/>
        <v>0</v>
      </c>
    </row>
    <row r="403" spans="1:19">
      <c r="A403" s="154"/>
      <c r="B403" s="57"/>
      <c r="C403" s="24">
        <f t="shared" si="64"/>
        <v>1</v>
      </c>
      <c r="D403" s="675"/>
      <c r="E403" s="24">
        <f t="shared" si="65"/>
        <v>1</v>
      </c>
      <c r="F403" s="675"/>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si="72"/>
        <v>0</v>
      </c>
      <c r="S403" s="321">
        <f t="shared" si="73"/>
        <v>0</v>
      </c>
    </row>
    <row r="404" spans="1:19">
      <c r="A404" s="154"/>
      <c r="B404" s="57"/>
      <c r="C404" s="24">
        <f t="shared" si="64"/>
        <v>1</v>
      </c>
      <c r="D404" s="675"/>
      <c r="E404" s="24">
        <f t="shared" si="65"/>
        <v>1</v>
      </c>
      <c r="F404" s="675"/>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si="72"/>
        <v>0</v>
      </c>
      <c r="S404" s="321">
        <f t="shared" si="73"/>
        <v>0</v>
      </c>
    </row>
    <row r="405" spans="1:19">
      <c r="A405" s="154"/>
      <c r="B405" s="57"/>
      <c r="C405" s="24">
        <f t="shared" si="64"/>
        <v>1</v>
      </c>
      <c r="D405" s="675"/>
      <c r="E405" s="24">
        <f t="shared" si="65"/>
        <v>1</v>
      </c>
      <c r="F405" s="675"/>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si="72"/>
        <v>0</v>
      </c>
      <c r="S405" s="321">
        <f t="shared" si="73"/>
        <v>0</v>
      </c>
    </row>
    <row r="406" spans="1:19">
      <c r="A406" s="154"/>
      <c r="B406" s="57"/>
      <c r="C406" s="24">
        <f t="shared" si="64"/>
        <v>1</v>
      </c>
      <c r="D406" s="675"/>
      <c r="E406" s="24">
        <f t="shared" si="65"/>
        <v>1</v>
      </c>
      <c r="F406" s="675"/>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si="72"/>
        <v>0</v>
      </c>
      <c r="S406" s="321">
        <f t="shared" si="73"/>
        <v>0</v>
      </c>
    </row>
    <row r="407" spans="1:19">
      <c r="A407" s="154"/>
      <c r="B407" s="57"/>
      <c r="C407" s="24">
        <f t="shared" si="64"/>
        <v>1</v>
      </c>
      <c r="D407" s="675"/>
      <c r="E407" s="24">
        <f t="shared" si="65"/>
        <v>1</v>
      </c>
      <c r="F407" s="675"/>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si="72"/>
        <v>0</v>
      </c>
      <c r="S407" s="321">
        <f t="shared" si="73"/>
        <v>0</v>
      </c>
    </row>
    <row r="408" spans="1:19">
      <c r="A408" s="154"/>
      <c r="B408" s="57"/>
      <c r="C408" s="24">
        <f t="shared" si="64"/>
        <v>1</v>
      </c>
      <c r="D408" s="675"/>
      <c r="E408" s="24">
        <f t="shared" si="65"/>
        <v>1</v>
      </c>
      <c r="F408" s="675"/>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si="72"/>
        <v>0</v>
      </c>
      <c r="S408" s="321">
        <f t="shared" si="73"/>
        <v>0</v>
      </c>
    </row>
    <row r="409" spans="1:19">
      <c r="A409" s="154"/>
      <c r="B409" s="57"/>
      <c r="C409" s="24">
        <f t="shared" si="64"/>
        <v>1</v>
      </c>
      <c r="D409" s="675"/>
      <c r="E409" s="24">
        <f t="shared" si="65"/>
        <v>1</v>
      </c>
      <c r="F409" s="675"/>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si="72"/>
        <v>0</v>
      </c>
      <c r="S409" s="321">
        <f t="shared" si="73"/>
        <v>0</v>
      </c>
    </row>
    <row r="410" spans="1:19">
      <c r="A410" s="154"/>
      <c r="B410" s="57"/>
      <c r="C410" s="24">
        <f t="shared" ref="C410:C473" si="74">IF(B410="",1,(LOOKUP(B410,$3:$3,$4:$4)-LOOKUP($B$24,$3:$3,$4:$4)+100)/100)</f>
        <v>1</v>
      </c>
      <c r="D410" s="675"/>
      <c r="E410" s="24">
        <f t="shared" ref="E410:E473" si="75">(SUMIF($5:$5,D410,$6:$6)-SUMIF($5:$5,$D$24,$6:$6)+100)/100</f>
        <v>1</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si="82">IF(B410="",0,ROUND($R$24*C410*E410*G410*I410*K410*M410*O410*Q410,0))</f>
        <v>0</v>
      </c>
      <c r="S410" s="321">
        <f t="shared" si="73"/>
        <v>0</v>
      </c>
    </row>
    <row r="411" spans="1:19">
      <c r="A411" s="154"/>
      <c r="B411" s="57"/>
      <c r="C411" s="24">
        <f t="shared" si="74"/>
        <v>1</v>
      </c>
      <c r="D411" s="675"/>
      <c r="E411" s="24">
        <f t="shared" si="75"/>
        <v>1</v>
      </c>
      <c r="F411" s="675"/>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si="82"/>
        <v>0</v>
      </c>
      <c r="S411" s="321">
        <f t="shared" si="73"/>
        <v>0</v>
      </c>
    </row>
    <row r="412" spans="1:19">
      <c r="A412" s="154"/>
      <c r="B412" s="57"/>
      <c r="C412" s="24">
        <f t="shared" si="74"/>
        <v>1</v>
      </c>
      <c r="D412" s="675"/>
      <c r="E412" s="24">
        <f t="shared" si="75"/>
        <v>1</v>
      </c>
      <c r="F412" s="675"/>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si="82"/>
        <v>0</v>
      </c>
      <c r="S412" s="321">
        <f t="shared" si="73"/>
        <v>0</v>
      </c>
    </row>
    <row r="413" spans="1:19">
      <c r="A413" s="154"/>
      <c r="B413" s="57"/>
      <c r="C413" s="24">
        <f t="shared" si="74"/>
        <v>1</v>
      </c>
      <c r="D413" s="675"/>
      <c r="E413" s="24">
        <f t="shared" si="75"/>
        <v>1</v>
      </c>
      <c r="F413" s="675"/>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si="82"/>
        <v>0</v>
      </c>
      <c r="S413" s="321">
        <f t="shared" si="73"/>
        <v>0</v>
      </c>
    </row>
    <row r="414" spans="1:19">
      <c r="A414" s="154"/>
      <c r="B414" s="57"/>
      <c r="C414" s="24">
        <f t="shared" si="74"/>
        <v>1</v>
      </c>
      <c r="D414" s="675"/>
      <c r="E414" s="24">
        <f t="shared" si="75"/>
        <v>1</v>
      </c>
      <c r="F414" s="675"/>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si="82"/>
        <v>0</v>
      </c>
      <c r="S414" s="321">
        <f t="shared" si="73"/>
        <v>0</v>
      </c>
    </row>
    <row r="415" spans="1:19">
      <c r="A415" s="154"/>
      <c r="B415" s="57"/>
      <c r="C415" s="24">
        <f t="shared" si="74"/>
        <v>1</v>
      </c>
      <c r="D415" s="675"/>
      <c r="E415" s="24">
        <f t="shared" si="75"/>
        <v>1</v>
      </c>
      <c r="F415" s="675"/>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si="82"/>
        <v>0</v>
      </c>
      <c r="S415" s="321">
        <f t="shared" si="73"/>
        <v>0</v>
      </c>
    </row>
    <row r="416" spans="1:19">
      <c r="A416" s="154"/>
      <c r="B416" s="57"/>
      <c r="C416" s="24">
        <f t="shared" si="74"/>
        <v>1</v>
      </c>
      <c r="D416" s="675"/>
      <c r="E416" s="24">
        <f t="shared" si="75"/>
        <v>1</v>
      </c>
      <c r="F416" s="675"/>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si="82"/>
        <v>0</v>
      </c>
      <c r="S416" s="321">
        <f t="shared" si="73"/>
        <v>0</v>
      </c>
    </row>
    <row r="417" spans="1:19">
      <c r="A417" s="154"/>
      <c r="B417" s="57"/>
      <c r="C417" s="24">
        <f t="shared" si="74"/>
        <v>1</v>
      </c>
      <c r="D417" s="675"/>
      <c r="E417" s="24">
        <f t="shared" si="75"/>
        <v>1</v>
      </c>
      <c r="F417" s="675"/>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si="82"/>
        <v>0</v>
      </c>
      <c r="S417" s="321">
        <f t="shared" si="73"/>
        <v>0</v>
      </c>
    </row>
    <row r="418" spans="1:19">
      <c r="A418" s="154"/>
      <c r="B418" s="57"/>
      <c r="C418" s="24">
        <f t="shared" si="74"/>
        <v>1</v>
      </c>
      <c r="D418" s="675"/>
      <c r="E418" s="24">
        <f t="shared" si="75"/>
        <v>1</v>
      </c>
      <c r="F418" s="675"/>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si="82"/>
        <v>0</v>
      </c>
      <c r="S418" s="321">
        <f t="shared" si="73"/>
        <v>0</v>
      </c>
    </row>
    <row r="419" spans="1:19">
      <c r="A419" s="154"/>
      <c r="B419" s="57"/>
      <c r="C419" s="24">
        <f t="shared" si="74"/>
        <v>1</v>
      </c>
      <c r="D419" s="675"/>
      <c r="E419" s="24">
        <f t="shared" si="75"/>
        <v>1</v>
      </c>
      <c r="F419" s="675"/>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si="82"/>
        <v>0</v>
      </c>
      <c r="S419" s="321">
        <f t="shared" si="73"/>
        <v>0</v>
      </c>
    </row>
    <row r="420" spans="1:19">
      <c r="A420" s="154"/>
      <c r="B420" s="57"/>
      <c r="C420" s="24">
        <f t="shared" si="74"/>
        <v>1</v>
      </c>
      <c r="D420" s="675"/>
      <c r="E420" s="24">
        <f t="shared" si="75"/>
        <v>1</v>
      </c>
      <c r="F420" s="675"/>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si="82"/>
        <v>0</v>
      </c>
      <c r="S420" s="321">
        <f t="shared" si="73"/>
        <v>0</v>
      </c>
    </row>
    <row r="421" spans="1:19">
      <c r="A421" s="154"/>
      <c r="B421" s="57"/>
      <c r="C421" s="24">
        <f t="shared" si="74"/>
        <v>1</v>
      </c>
      <c r="D421" s="675"/>
      <c r="E421" s="24">
        <f t="shared" si="75"/>
        <v>1</v>
      </c>
      <c r="F421" s="675"/>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si="82"/>
        <v>0</v>
      </c>
      <c r="S421" s="321">
        <f t="shared" si="73"/>
        <v>0</v>
      </c>
    </row>
    <row r="422" spans="1:19">
      <c r="A422" s="154"/>
      <c r="B422" s="57"/>
      <c r="C422" s="24">
        <f t="shared" si="74"/>
        <v>1</v>
      </c>
      <c r="D422" s="675"/>
      <c r="E422" s="24">
        <f t="shared" si="75"/>
        <v>1</v>
      </c>
      <c r="F422" s="675"/>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si="82"/>
        <v>0</v>
      </c>
      <c r="S422" s="321">
        <f t="shared" si="73"/>
        <v>0</v>
      </c>
    </row>
    <row r="423" spans="1:19">
      <c r="A423" s="154"/>
      <c r="B423" s="57"/>
      <c r="C423" s="24">
        <f t="shared" si="74"/>
        <v>1</v>
      </c>
      <c r="D423" s="675"/>
      <c r="E423" s="24">
        <f t="shared" si="75"/>
        <v>1</v>
      </c>
      <c r="F423" s="675"/>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si="82"/>
        <v>0</v>
      </c>
      <c r="S423" s="321">
        <f t="shared" ref="S423:S467" si="83">ROUND(R423*B423/10000,0)</f>
        <v>0</v>
      </c>
    </row>
    <row r="424" spans="1:19">
      <c r="A424" s="154"/>
      <c r="B424" s="57"/>
      <c r="C424" s="24">
        <f t="shared" si="74"/>
        <v>1</v>
      </c>
      <c r="D424" s="675"/>
      <c r="E424" s="24">
        <f t="shared" si="75"/>
        <v>1</v>
      </c>
      <c r="F424" s="675"/>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si="82"/>
        <v>0</v>
      </c>
      <c r="S424" s="321">
        <f t="shared" si="83"/>
        <v>0</v>
      </c>
    </row>
    <row r="425" spans="1:19">
      <c r="A425" s="154"/>
      <c r="B425" s="57"/>
      <c r="C425" s="24">
        <f t="shared" si="74"/>
        <v>1</v>
      </c>
      <c r="D425" s="675"/>
      <c r="E425" s="24">
        <f t="shared" si="75"/>
        <v>1</v>
      </c>
      <c r="F425" s="675"/>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si="82"/>
        <v>0</v>
      </c>
      <c r="S425" s="321">
        <f t="shared" si="83"/>
        <v>0</v>
      </c>
    </row>
    <row r="426" spans="1:19">
      <c r="A426" s="154"/>
      <c r="B426" s="57"/>
      <c r="C426" s="24">
        <f t="shared" si="74"/>
        <v>1</v>
      </c>
      <c r="D426" s="675"/>
      <c r="E426" s="24">
        <f t="shared" si="75"/>
        <v>1</v>
      </c>
      <c r="F426" s="675"/>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si="82"/>
        <v>0</v>
      </c>
      <c r="S426" s="321">
        <f t="shared" si="83"/>
        <v>0</v>
      </c>
    </row>
    <row r="427" spans="1:19">
      <c r="A427" s="154"/>
      <c r="B427" s="57"/>
      <c r="C427" s="24">
        <f t="shared" si="74"/>
        <v>1</v>
      </c>
      <c r="D427" s="675"/>
      <c r="E427" s="24">
        <f t="shared" si="75"/>
        <v>1</v>
      </c>
      <c r="F427" s="675"/>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si="82"/>
        <v>0</v>
      </c>
      <c r="S427" s="321">
        <f t="shared" si="83"/>
        <v>0</v>
      </c>
    </row>
    <row r="428" spans="1:19">
      <c r="A428" s="154"/>
      <c r="B428" s="57"/>
      <c r="C428" s="24">
        <f t="shared" si="74"/>
        <v>1</v>
      </c>
      <c r="D428" s="675"/>
      <c r="E428" s="24">
        <f t="shared" si="75"/>
        <v>1</v>
      </c>
      <c r="F428" s="675"/>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si="82"/>
        <v>0</v>
      </c>
      <c r="S428" s="321">
        <f t="shared" si="83"/>
        <v>0</v>
      </c>
    </row>
    <row r="429" spans="1:19">
      <c r="A429" s="154"/>
      <c r="B429" s="57"/>
      <c r="C429" s="24">
        <f t="shared" si="74"/>
        <v>1</v>
      </c>
      <c r="D429" s="675"/>
      <c r="E429" s="24">
        <f t="shared" si="75"/>
        <v>1</v>
      </c>
      <c r="F429" s="675"/>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si="82"/>
        <v>0</v>
      </c>
      <c r="S429" s="321">
        <f t="shared" si="83"/>
        <v>0</v>
      </c>
    </row>
    <row r="430" spans="1:19">
      <c r="A430" s="154"/>
      <c r="B430" s="57"/>
      <c r="C430" s="24">
        <f t="shared" si="74"/>
        <v>1</v>
      </c>
      <c r="D430" s="675"/>
      <c r="E430" s="24">
        <f t="shared" si="75"/>
        <v>1</v>
      </c>
      <c r="F430" s="675"/>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si="82"/>
        <v>0</v>
      </c>
      <c r="S430" s="321">
        <f t="shared" si="83"/>
        <v>0</v>
      </c>
    </row>
    <row r="431" spans="1:19">
      <c r="A431" s="154"/>
      <c r="B431" s="57"/>
      <c r="C431" s="24">
        <f t="shared" si="74"/>
        <v>1</v>
      </c>
      <c r="D431" s="675"/>
      <c r="E431" s="24">
        <f t="shared" si="75"/>
        <v>1</v>
      </c>
      <c r="F431" s="675"/>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si="82"/>
        <v>0</v>
      </c>
      <c r="S431" s="321">
        <f t="shared" si="83"/>
        <v>0</v>
      </c>
    </row>
    <row r="432" spans="1:19">
      <c r="A432" s="154"/>
      <c r="B432" s="57"/>
      <c r="C432" s="24">
        <f t="shared" si="74"/>
        <v>1</v>
      </c>
      <c r="D432" s="675"/>
      <c r="E432" s="24">
        <f t="shared" si="75"/>
        <v>1</v>
      </c>
      <c r="F432" s="675"/>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si="82"/>
        <v>0</v>
      </c>
      <c r="S432" s="321">
        <f t="shared" si="83"/>
        <v>0</v>
      </c>
    </row>
    <row r="433" spans="1:19">
      <c r="A433" s="154"/>
      <c r="B433" s="57"/>
      <c r="C433" s="24">
        <f t="shared" si="74"/>
        <v>1</v>
      </c>
      <c r="D433" s="675"/>
      <c r="E433" s="24">
        <f t="shared" si="75"/>
        <v>1</v>
      </c>
      <c r="F433" s="675"/>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si="82"/>
        <v>0</v>
      </c>
      <c r="S433" s="321">
        <f t="shared" si="83"/>
        <v>0</v>
      </c>
    </row>
    <row r="434" spans="1:19">
      <c r="A434" s="154"/>
      <c r="B434" s="57"/>
      <c r="C434" s="24">
        <f t="shared" si="74"/>
        <v>1</v>
      </c>
      <c r="D434" s="675"/>
      <c r="E434" s="24">
        <f t="shared" si="75"/>
        <v>1</v>
      </c>
      <c r="F434" s="675"/>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si="82"/>
        <v>0</v>
      </c>
      <c r="S434" s="321">
        <f t="shared" si="83"/>
        <v>0</v>
      </c>
    </row>
    <row r="435" spans="1:19">
      <c r="A435" s="154"/>
      <c r="B435" s="57"/>
      <c r="C435" s="24">
        <f t="shared" si="74"/>
        <v>1</v>
      </c>
      <c r="D435" s="675"/>
      <c r="E435" s="24">
        <f t="shared" si="75"/>
        <v>1</v>
      </c>
      <c r="F435" s="675"/>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si="82"/>
        <v>0</v>
      </c>
      <c r="S435" s="321">
        <f t="shared" si="83"/>
        <v>0</v>
      </c>
    </row>
    <row r="436" spans="1:19">
      <c r="A436" s="154"/>
      <c r="B436" s="57"/>
      <c r="C436" s="24">
        <f t="shared" si="74"/>
        <v>1</v>
      </c>
      <c r="D436" s="675"/>
      <c r="E436" s="24">
        <f t="shared" si="75"/>
        <v>1</v>
      </c>
      <c r="F436" s="675"/>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si="82"/>
        <v>0</v>
      </c>
      <c r="S436" s="321">
        <f t="shared" si="83"/>
        <v>0</v>
      </c>
    </row>
    <row r="437" spans="1:19">
      <c r="A437" s="154"/>
      <c r="B437" s="57"/>
      <c r="C437" s="24">
        <f t="shared" si="74"/>
        <v>1</v>
      </c>
      <c r="D437" s="675"/>
      <c r="E437" s="24">
        <f t="shared" si="75"/>
        <v>1</v>
      </c>
      <c r="F437" s="675"/>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si="82"/>
        <v>0</v>
      </c>
      <c r="S437" s="321">
        <f t="shared" si="83"/>
        <v>0</v>
      </c>
    </row>
    <row r="438" spans="1:19">
      <c r="A438" s="154"/>
      <c r="B438" s="57"/>
      <c r="C438" s="24">
        <f t="shared" si="74"/>
        <v>1</v>
      </c>
      <c r="D438" s="675"/>
      <c r="E438" s="24">
        <f t="shared" si="75"/>
        <v>1</v>
      </c>
      <c r="F438" s="675"/>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si="82"/>
        <v>0</v>
      </c>
      <c r="S438" s="321">
        <f t="shared" si="83"/>
        <v>0</v>
      </c>
    </row>
    <row r="439" spans="1:19">
      <c r="A439" s="154"/>
      <c r="B439" s="57"/>
      <c r="C439" s="24">
        <f t="shared" si="74"/>
        <v>1</v>
      </c>
      <c r="D439" s="675"/>
      <c r="E439" s="24">
        <f t="shared" si="75"/>
        <v>1</v>
      </c>
      <c r="F439" s="675"/>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si="82"/>
        <v>0</v>
      </c>
      <c r="S439" s="321">
        <f t="shared" si="83"/>
        <v>0</v>
      </c>
    </row>
    <row r="440" spans="1:19">
      <c r="A440" s="154"/>
      <c r="B440" s="57"/>
      <c r="C440" s="24">
        <f t="shared" si="74"/>
        <v>1</v>
      </c>
      <c r="D440" s="675"/>
      <c r="E440" s="24">
        <f t="shared" si="75"/>
        <v>1</v>
      </c>
      <c r="F440" s="675"/>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si="82"/>
        <v>0</v>
      </c>
      <c r="S440" s="321">
        <f t="shared" si="83"/>
        <v>0</v>
      </c>
    </row>
    <row r="441" spans="1:19">
      <c r="A441" s="154"/>
      <c r="B441" s="57"/>
      <c r="C441" s="24">
        <f t="shared" si="74"/>
        <v>1</v>
      </c>
      <c r="D441" s="675"/>
      <c r="E441" s="24">
        <f t="shared" si="75"/>
        <v>1</v>
      </c>
      <c r="F441" s="675"/>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si="82"/>
        <v>0</v>
      </c>
      <c r="S441" s="321">
        <f t="shared" si="83"/>
        <v>0</v>
      </c>
    </row>
    <row r="442" spans="1:19">
      <c r="A442" s="154"/>
      <c r="B442" s="57"/>
      <c r="C442" s="24">
        <f t="shared" si="74"/>
        <v>1</v>
      </c>
      <c r="D442" s="675"/>
      <c r="E442" s="24">
        <f t="shared" si="75"/>
        <v>1</v>
      </c>
      <c r="F442" s="675"/>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si="82"/>
        <v>0</v>
      </c>
      <c r="S442" s="321">
        <f t="shared" si="83"/>
        <v>0</v>
      </c>
    </row>
    <row r="443" spans="1:19">
      <c r="A443" s="154"/>
      <c r="B443" s="57"/>
      <c r="C443" s="24">
        <f t="shared" si="74"/>
        <v>1</v>
      </c>
      <c r="D443" s="675"/>
      <c r="E443" s="24">
        <f t="shared" si="75"/>
        <v>1</v>
      </c>
      <c r="F443" s="675"/>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si="82"/>
        <v>0</v>
      </c>
      <c r="S443" s="321">
        <f t="shared" si="83"/>
        <v>0</v>
      </c>
    </row>
    <row r="444" spans="1:19">
      <c r="A444" s="154"/>
      <c r="B444" s="57"/>
      <c r="C444" s="24">
        <f t="shared" si="74"/>
        <v>1</v>
      </c>
      <c r="D444" s="675"/>
      <c r="E444" s="24">
        <f t="shared" si="75"/>
        <v>1</v>
      </c>
      <c r="F444" s="675"/>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si="82"/>
        <v>0</v>
      </c>
      <c r="S444" s="321">
        <f t="shared" si="83"/>
        <v>0</v>
      </c>
    </row>
    <row r="445" spans="1:19">
      <c r="A445" s="154"/>
      <c r="B445" s="57"/>
      <c r="C445" s="24">
        <f t="shared" si="74"/>
        <v>1</v>
      </c>
      <c r="D445" s="675"/>
      <c r="E445" s="24">
        <f t="shared" si="75"/>
        <v>1</v>
      </c>
      <c r="F445" s="675"/>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si="82"/>
        <v>0</v>
      </c>
      <c r="S445" s="321">
        <f t="shared" si="83"/>
        <v>0</v>
      </c>
    </row>
    <row r="446" spans="1:19">
      <c r="A446" s="154"/>
      <c r="B446" s="57"/>
      <c r="C446" s="24">
        <f t="shared" si="74"/>
        <v>1</v>
      </c>
      <c r="D446" s="675"/>
      <c r="E446" s="24">
        <f t="shared" si="75"/>
        <v>1</v>
      </c>
      <c r="F446" s="675"/>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si="82"/>
        <v>0</v>
      </c>
      <c r="S446" s="321">
        <f t="shared" si="83"/>
        <v>0</v>
      </c>
    </row>
    <row r="447" spans="1:19">
      <c r="A447" s="154"/>
      <c r="B447" s="57"/>
      <c r="C447" s="24">
        <f t="shared" si="74"/>
        <v>1</v>
      </c>
      <c r="D447" s="675"/>
      <c r="E447" s="24">
        <f t="shared" si="75"/>
        <v>1</v>
      </c>
      <c r="F447" s="675"/>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si="82"/>
        <v>0</v>
      </c>
      <c r="S447" s="321">
        <f t="shared" si="83"/>
        <v>0</v>
      </c>
    </row>
    <row r="448" spans="1:19">
      <c r="A448" s="154"/>
      <c r="B448" s="57"/>
      <c r="C448" s="24">
        <f t="shared" si="74"/>
        <v>1</v>
      </c>
      <c r="D448" s="675"/>
      <c r="E448" s="24">
        <f t="shared" si="75"/>
        <v>1</v>
      </c>
      <c r="F448" s="675"/>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si="82"/>
        <v>0</v>
      </c>
      <c r="S448" s="321">
        <f t="shared" si="83"/>
        <v>0</v>
      </c>
    </row>
    <row r="449" spans="1:19">
      <c r="A449" s="154"/>
      <c r="B449" s="57"/>
      <c r="C449" s="24">
        <f t="shared" si="74"/>
        <v>1</v>
      </c>
      <c r="D449" s="675"/>
      <c r="E449" s="24">
        <f t="shared" si="75"/>
        <v>1</v>
      </c>
      <c r="F449" s="675"/>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si="82"/>
        <v>0</v>
      </c>
      <c r="S449" s="321">
        <f t="shared" si="83"/>
        <v>0</v>
      </c>
    </row>
    <row r="450" spans="1:19">
      <c r="A450" s="154"/>
      <c r="B450" s="57"/>
      <c r="C450" s="24">
        <f t="shared" si="74"/>
        <v>1</v>
      </c>
      <c r="D450" s="675"/>
      <c r="E450" s="24">
        <f t="shared" si="75"/>
        <v>1</v>
      </c>
      <c r="F450" s="675"/>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si="82"/>
        <v>0</v>
      </c>
      <c r="S450" s="321">
        <f t="shared" si="83"/>
        <v>0</v>
      </c>
    </row>
    <row r="451" spans="1:19">
      <c r="A451" s="154"/>
      <c r="B451" s="57"/>
      <c r="C451" s="24">
        <f t="shared" si="74"/>
        <v>1</v>
      </c>
      <c r="D451" s="675"/>
      <c r="E451" s="24">
        <f t="shared" si="75"/>
        <v>1</v>
      </c>
      <c r="F451" s="675"/>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si="82"/>
        <v>0</v>
      </c>
      <c r="S451" s="321">
        <f t="shared" si="83"/>
        <v>0</v>
      </c>
    </row>
    <row r="452" spans="1:19">
      <c r="A452" s="154"/>
      <c r="B452" s="57"/>
      <c r="C452" s="24">
        <f t="shared" si="74"/>
        <v>1</v>
      </c>
      <c r="D452" s="675"/>
      <c r="E452" s="24">
        <f t="shared" si="75"/>
        <v>1</v>
      </c>
      <c r="F452" s="675"/>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si="82"/>
        <v>0</v>
      </c>
      <c r="S452" s="321">
        <f t="shared" si="83"/>
        <v>0</v>
      </c>
    </row>
    <row r="453" spans="1:19">
      <c r="A453" s="154"/>
      <c r="B453" s="57"/>
      <c r="C453" s="24">
        <f t="shared" si="74"/>
        <v>1</v>
      </c>
      <c r="D453" s="675"/>
      <c r="E453" s="24">
        <f t="shared" si="75"/>
        <v>1</v>
      </c>
      <c r="F453" s="675"/>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si="82"/>
        <v>0</v>
      </c>
      <c r="S453" s="321">
        <f t="shared" si="83"/>
        <v>0</v>
      </c>
    </row>
    <row r="454" spans="1:19">
      <c r="A454" s="154"/>
      <c r="B454" s="57"/>
      <c r="C454" s="24">
        <f t="shared" si="74"/>
        <v>1</v>
      </c>
      <c r="D454" s="675"/>
      <c r="E454" s="24">
        <f t="shared" si="75"/>
        <v>1</v>
      </c>
      <c r="F454" s="675"/>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si="82"/>
        <v>0</v>
      </c>
      <c r="S454" s="321">
        <f t="shared" si="83"/>
        <v>0</v>
      </c>
    </row>
    <row r="455" spans="1:19">
      <c r="A455" s="154"/>
      <c r="B455" s="57"/>
      <c r="C455" s="24">
        <f t="shared" si="74"/>
        <v>1</v>
      </c>
      <c r="D455" s="675"/>
      <c r="E455" s="24">
        <f t="shared" si="75"/>
        <v>1</v>
      </c>
      <c r="F455" s="675"/>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si="82"/>
        <v>0</v>
      </c>
      <c r="S455" s="321">
        <f t="shared" si="83"/>
        <v>0</v>
      </c>
    </row>
    <row r="456" spans="1:19">
      <c r="A456" s="154"/>
      <c r="B456" s="57"/>
      <c r="C456" s="24">
        <f t="shared" si="74"/>
        <v>1</v>
      </c>
      <c r="D456" s="675"/>
      <c r="E456" s="24">
        <f t="shared" si="75"/>
        <v>1</v>
      </c>
      <c r="F456" s="675"/>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si="82"/>
        <v>0</v>
      </c>
      <c r="S456" s="321">
        <f t="shared" si="83"/>
        <v>0</v>
      </c>
    </row>
    <row r="457" spans="1:19">
      <c r="A457" s="154"/>
      <c r="B457" s="57"/>
      <c r="C457" s="24">
        <f t="shared" si="74"/>
        <v>1</v>
      </c>
      <c r="D457" s="675"/>
      <c r="E457" s="24">
        <f t="shared" si="75"/>
        <v>1</v>
      </c>
      <c r="F457" s="675"/>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si="82"/>
        <v>0</v>
      </c>
      <c r="S457" s="321">
        <f t="shared" si="83"/>
        <v>0</v>
      </c>
    </row>
    <row r="458" spans="1:19">
      <c r="A458" s="154"/>
      <c r="B458" s="57"/>
      <c r="C458" s="24">
        <f t="shared" si="74"/>
        <v>1</v>
      </c>
      <c r="D458" s="675"/>
      <c r="E458" s="24">
        <f t="shared" si="75"/>
        <v>1</v>
      </c>
      <c r="F458" s="675"/>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si="82"/>
        <v>0</v>
      </c>
      <c r="S458" s="321">
        <f t="shared" si="83"/>
        <v>0</v>
      </c>
    </row>
    <row r="459" spans="1:19">
      <c r="A459" s="154"/>
      <c r="B459" s="57"/>
      <c r="C459" s="24">
        <f t="shared" si="74"/>
        <v>1</v>
      </c>
      <c r="D459" s="675"/>
      <c r="E459" s="24">
        <f t="shared" si="75"/>
        <v>1</v>
      </c>
      <c r="F459" s="675"/>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si="82"/>
        <v>0</v>
      </c>
      <c r="S459" s="321">
        <f t="shared" si="83"/>
        <v>0</v>
      </c>
    </row>
    <row r="460" spans="1:19">
      <c r="A460" s="154"/>
      <c r="B460" s="57"/>
      <c r="C460" s="24">
        <f t="shared" si="74"/>
        <v>1</v>
      </c>
      <c r="D460" s="675"/>
      <c r="E460" s="24">
        <f t="shared" si="75"/>
        <v>1</v>
      </c>
      <c r="F460" s="675"/>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si="82"/>
        <v>0</v>
      </c>
      <c r="S460" s="321">
        <f t="shared" si="83"/>
        <v>0</v>
      </c>
    </row>
    <row r="461" spans="1:19">
      <c r="A461" s="154"/>
      <c r="B461" s="57"/>
      <c r="C461" s="24">
        <f t="shared" si="74"/>
        <v>1</v>
      </c>
      <c r="D461" s="675"/>
      <c r="E461" s="24">
        <f t="shared" si="75"/>
        <v>1</v>
      </c>
      <c r="F461" s="675"/>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si="82"/>
        <v>0</v>
      </c>
      <c r="S461" s="321">
        <f t="shared" si="83"/>
        <v>0</v>
      </c>
    </row>
    <row r="462" spans="1:19">
      <c r="A462" s="154"/>
      <c r="B462" s="57"/>
      <c r="C462" s="24">
        <f t="shared" si="74"/>
        <v>1</v>
      </c>
      <c r="D462" s="675"/>
      <c r="E462" s="24">
        <f t="shared" si="75"/>
        <v>1</v>
      </c>
      <c r="F462" s="675"/>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si="82"/>
        <v>0</v>
      </c>
      <c r="S462" s="321">
        <f t="shared" si="83"/>
        <v>0</v>
      </c>
    </row>
    <row r="463" spans="1:19">
      <c r="A463" s="154"/>
      <c r="B463" s="57"/>
      <c r="C463" s="24">
        <f t="shared" si="74"/>
        <v>1</v>
      </c>
      <c r="D463" s="675"/>
      <c r="E463" s="24">
        <f t="shared" si="75"/>
        <v>1</v>
      </c>
      <c r="F463" s="675"/>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si="82"/>
        <v>0</v>
      </c>
      <c r="S463" s="321">
        <f t="shared" si="83"/>
        <v>0</v>
      </c>
    </row>
    <row r="464" spans="1:19">
      <c r="A464" s="154"/>
      <c r="B464" s="57"/>
      <c r="C464" s="24">
        <f t="shared" si="74"/>
        <v>1</v>
      </c>
      <c r="D464" s="675"/>
      <c r="E464" s="24">
        <f t="shared" si="75"/>
        <v>1</v>
      </c>
      <c r="F464" s="675"/>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si="82"/>
        <v>0</v>
      </c>
      <c r="S464" s="321">
        <f t="shared" si="83"/>
        <v>0</v>
      </c>
    </row>
    <row r="465" spans="1:19">
      <c r="A465" s="154"/>
      <c r="B465" s="57"/>
      <c r="C465" s="24">
        <f t="shared" si="74"/>
        <v>1</v>
      </c>
      <c r="D465" s="675"/>
      <c r="E465" s="24">
        <f t="shared" si="75"/>
        <v>1</v>
      </c>
      <c r="F465" s="675"/>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si="82"/>
        <v>0</v>
      </c>
      <c r="S465" s="321">
        <f t="shared" si="83"/>
        <v>0</v>
      </c>
    </row>
    <row r="466" spans="1:19">
      <c r="A466" s="154"/>
      <c r="B466" s="57"/>
      <c r="C466" s="24">
        <f t="shared" si="74"/>
        <v>1</v>
      </c>
      <c r="D466" s="675"/>
      <c r="E466" s="24">
        <f t="shared" si="75"/>
        <v>1</v>
      </c>
      <c r="F466" s="675"/>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si="82"/>
        <v>0</v>
      </c>
      <c r="S466" s="321">
        <f t="shared" si="83"/>
        <v>0</v>
      </c>
    </row>
    <row r="467" spans="1:19">
      <c r="A467" s="154"/>
      <c r="B467" s="57"/>
      <c r="C467" s="24">
        <f t="shared" si="74"/>
        <v>1</v>
      </c>
      <c r="D467" s="675"/>
      <c r="E467" s="24">
        <f t="shared" si="75"/>
        <v>1</v>
      </c>
      <c r="F467" s="675"/>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si="82"/>
        <v>0</v>
      </c>
      <c r="S467" s="321">
        <f t="shared" si="83"/>
        <v>0</v>
      </c>
    </row>
    <row r="468" spans="1:19">
      <c r="A468" s="154"/>
      <c r="B468" s="57"/>
      <c r="C468" s="24">
        <f t="shared" si="74"/>
        <v>1</v>
      </c>
      <c r="D468" s="675"/>
      <c r="E468" s="24">
        <f t="shared" si="75"/>
        <v>1</v>
      </c>
      <c r="F468" s="675"/>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si="82"/>
        <v>0</v>
      </c>
      <c r="S468" s="321">
        <f t="shared" ref="S468:S497" si="84">ROUND(R468*B468/10000,0)</f>
        <v>0</v>
      </c>
    </row>
    <row r="469" spans="1:19">
      <c r="A469" s="154"/>
      <c r="B469" s="57"/>
      <c r="C469" s="24">
        <f t="shared" si="74"/>
        <v>1</v>
      </c>
      <c r="D469" s="675"/>
      <c r="E469" s="24">
        <f t="shared" si="75"/>
        <v>1</v>
      </c>
      <c r="F469" s="675"/>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si="82"/>
        <v>0</v>
      </c>
      <c r="S469" s="321">
        <f t="shared" si="84"/>
        <v>0</v>
      </c>
    </row>
    <row r="470" spans="1:19">
      <c r="A470" s="154"/>
      <c r="B470" s="57"/>
      <c r="C470" s="24">
        <f t="shared" si="74"/>
        <v>1</v>
      </c>
      <c r="D470" s="675"/>
      <c r="E470" s="24">
        <f t="shared" si="75"/>
        <v>1</v>
      </c>
      <c r="F470" s="675"/>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si="82"/>
        <v>0</v>
      </c>
      <c r="S470" s="321">
        <f t="shared" si="84"/>
        <v>0</v>
      </c>
    </row>
    <row r="471" spans="1:19">
      <c r="A471" s="154"/>
      <c r="B471" s="57"/>
      <c r="C471" s="24">
        <f t="shared" si="74"/>
        <v>1</v>
      </c>
      <c r="D471" s="675"/>
      <c r="E471" s="24">
        <f t="shared" si="75"/>
        <v>1</v>
      </c>
      <c r="F471" s="675"/>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si="82"/>
        <v>0</v>
      </c>
      <c r="S471" s="321">
        <f t="shared" si="84"/>
        <v>0</v>
      </c>
    </row>
    <row r="472" spans="1:19">
      <c r="A472" s="154"/>
      <c r="B472" s="57"/>
      <c r="C472" s="24">
        <f t="shared" si="74"/>
        <v>1</v>
      </c>
      <c r="D472" s="675"/>
      <c r="E472" s="24">
        <f t="shared" si="75"/>
        <v>1</v>
      </c>
      <c r="F472" s="675"/>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si="82"/>
        <v>0</v>
      </c>
      <c r="S472" s="321">
        <f t="shared" si="84"/>
        <v>0</v>
      </c>
    </row>
    <row r="473" spans="1:19">
      <c r="A473" s="154"/>
      <c r="B473" s="57"/>
      <c r="C473" s="24">
        <f t="shared" si="74"/>
        <v>1</v>
      </c>
      <c r="D473" s="675"/>
      <c r="E473" s="24">
        <f t="shared" si="75"/>
        <v>1</v>
      </c>
      <c r="F473" s="675"/>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si="82"/>
        <v>0</v>
      </c>
      <c r="S473" s="321">
        <f t="shared" si="84"/>
        <v>0</v>
      </c>
    </row>
    <row r="474" spans="1:19">
      <c r="A474" s="154"/>
      <c r="B474" s="57"/>
      <c r="C474" s="24">
        <f t="shared" ref="C474:C524" si="85">IF(B474="",1,(LOOKUP(B474,$3:$3,$4:$4)-LOOKUP($B$24,$3:$3,$4:$4)+100)/100)</f>
        <v>1</v>
      </c>
      <c r="D474" s="675"/>
      <c r="E474" s="24">
        <f t="shared" ref="E474:E524" si="86">(SUMIF($5:$5,D474,$6:$6)-SUMIF($5:$5,$D$24,$6:$6)+100)/100</f>
        <v>1</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si="93">IF(B474="",0,ROUND($R$24*C474*E474*G474*I474*K474*M474*O474*Q474,0))</f>
        <v>0</v>
      </c>
      <c r="S474" s="321">
        <f t="shared" si="84"/>
        <v>0</v>
      </c>
    </row>
    <row r="475" spans="1:19">
      <c r="A475" s="154"/>
      <c r="B475" s="57"/>
      <c r="C475" s="24">
        <f t="shared" si="85"/>
        <v>1</v>
      </c>
      <c r="D475" s="675"/>
      <c r="E475" s="24">
        <f t="shared" si="86"/>
        <v>1</v>
      </c>
      <c r="F475" s="675"/>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si="93"/>
        <v>0</v>
      </c>
      <c r="S475" s="321">
        <f t="shared" si="84"/>
        <v>0</v>
      </c>
    </row>
    <row r="476" spans="1:19">
      <c r="A476" s="154"/>
      <c r="B476" s="57"/>
      <c r="C476" s="24">
        <f t="shared" si="85"/>
        <v>1</v>
      </c>
      <c r="D476" s="675"/>
      <c r="E476" s="24">
        <f t="shared" si="86"/>
        <v>1</v>
      </c>
      <c r="F476" s="675"/>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si="93"/>
        <v>0</v>
      </c>
      <c r="S476" s="321">
        <f t="shared" si="84"/>
        <v>0</v>
      </c>
    </row>
    <row r="477" spans="1:19">
      <c r="A477" s="154"/>
      <c r="B477" s="57"/>
      <c r="C477" s="24">
        <f t="shared" si="85"/>
        <v>1</v>
      </c>
      <c r="D477" s="675"/>
      <c r="E477" s="24">
        <f t="shared" si="86"/>
        <v>1</v>
      </c>
      <c r="F477" s="675"/>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si="93"/>
        <v>0</v>
      </c>
      <c r="S477" s="321">
        <f t="shared" si="84"/>
        <v>0</v>
      </c>
    </row>
    <row r="478" spans="1:19">
      <c r="A478" s="154"/>
      <c r="B478" s="57"/>
      <c r="C478" s="24">
        <f t="shared" si="85"/>
        <v>1</v>
      </c>
      <c r="D478" s="675"/>
      <c r="E478" s="24">
        <f t="shared" si="86"/>
        <v>1</v>
      </c>
      <c r="F478" s="675"/>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si="93"/>
        <v>0</v>
      </c>
      <c r="S478" s="321">
        <f t="shared" si="84"/>
        <v>0</v>
      </c>
    </row>
    <row r="479" spans="1:19">
      <c r="A479" s="154"/>
      <c r="B479" s="57"/>
      <c r="C479" s="24">
        <f t="shared" si="85"/>
        <v>1</v>
      </c>
      <c r="D479" s="675"/>
      <c r="E479" s="24">
        <f t="shared" si="86"/>
        <v>1</v>
      </c>
      <c r="F479" s="675"/>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si="93"/>
        <v>0</v>
      </c>
      <c r="S479" s="321">
        <f t="shared" si="84"/>
        <v>0</v>
      </c>
    </row>
    <row r="480" spans="1:19">
      <c r="A480" s="154"/>
      <c r="B480" s="57"/>
      <c r="C480" s="24">
        <f t="shared" si="85"/>
        <v>1</v>
      </c>
      <c r="D480" s="675"/>
      <c r="E480" s="24">
        <f t="shared" si="86"/>
        <v>1</v>
      </c>
      <c r="F480" s="675"/>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si="93"/>
        <v>0</v>
      </c>
      <c r="S480" s="321">
        <f t="shared" si="84"/>
        <v>0</v>
      </c>
    </row>
    <row r="481" spans="1:19">
      <c r="A481" s="154"/>
      <c r="B481" s="57"/>
      <c r="C481" s="24">
        <f t="shared" si="85"/>
        <v>1</v>
      </c>
      <c r="D481" s="675"/>
      <c r="E481" s="24">
        <f t="shared" si="86"/>
        <v>1</v>
      </c>
      <c r="F481" s="675"/>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si="93"/>
        <v>0</v>
      </c>
      <c r="S481" s="321">
        <f t="shared" si="84"/>
        <v>0</v>
      </c>
    </row>
    <row r="482" spans="1:19">
      <c r="A482" s="154"/>
      <c r="B482" s="57"/>
      <c r="C482" s="24">
        <f t="shared" si="85"/>
        <v>1</v>
      </c>
      <c r="D482" s="675"/>
      <c r="E482" s="24">
        <f t="shared" si="86"/>
        <v>1</v>
      </c>
      <c r="F482" s="675"/>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si="93"/>
        <v>0</v>
      </c>
      <c r="S482" s="321">
        <f t="shared" si="84"/>
        <v>0</v>
      </c>
    </row>
    <row r="483" spans="1:19">
      <c r="A483" s="154"/>
      <c r="B483" s="57"/>
      <c r="C483" s="24">
        <f t="shared" si="85"/>
        <v>1</v>
      </c>
      <c r="D483" s="675"/>
      <c r="E483" s="24">
        <f t="shared" si="86"/>
        <v>1</v>
      </c>
      <c r="F483" s="675"/>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si="93"/>
        <v>0</v>
      </c>
      <c r="S483" s="321">
        <f t="shared" si="84"/>
        <v>0</v>
      </c>
    </row>
    <row r="484" spans="1:19">
      <c r="A484" s="154"/>
      <c r="B484" s="57"/>
      <c r="C484" s="24">
        <f t="shared" si="85"/>
        <v>1</v>
      </c>
      <c r="D484" s="675"/>
      <c r="E484" s="24">
        <f t="shared" si="86"/>
        <v>1</v>
      </c>
      <c r="F484" s="675"/>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si="93"/>
        <v>0</v>
      </c>
      <c r="S484" s="321">
        <f t="shared" si="84"/>
        <v>0</v>
      </c>
    </row>
    <row r="485" spans="1:19">
      <c r="A485" s="154"/>
      <c r="B485" s="57"/>
      <c r="C485" s="24">
        <f t="shared" si="85"/>
        <v>1</v>
      </c>
      <c r="D485" s="675"/>
      <c r="E485" s="24">
        <f t="shared" si="86"/>
        <v>1</v>
      </c>
      <c r="F485" s="675"/>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si="93"/>
        <v>0</v>
      </c>
      <c r="S485" s="321">
        <f t="shared" si="84"/>
        <v>0</v>
      </c>
    </row>
    <row r="486" spans="1:19">
      <c r="A486" s="154"/>
      <c r="B486" s="57"/>
      <c r="C486" s="24">
        <f t="shared" si="85"/>
        <v>1</v>
      </c>
      <c r="D486" s="675"/>
      <c r="E486" s="24">
        <f t="shared" si="86"/>
        <v>1</v>
      </c>
      <c r="F486" s="675"/>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si="93"/>
        <v>0</v>
      </c>
      <c r="S486" s="321">
        <f t="shared" si="84"/>
        <v>0</v>
      </c>
    </row>
    <row r="487" spans="1:19">
      <c r="A487" s="154"/>
      <c r="B487" s="57"/>
      <c r="C487" s="24">
        <f t="shared" si="85"/>
        <v>1</v>
      </c>
      <c r="D487" s="675"/>
      <c r="E487" s="24">
        <f t="shared" si="86"/>
        <v>1</v>
      </c>
      <c r="F487" s="675"/>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si="93"/>
        <v>0</v>
      </c>
      <c r="S487" s="321">
        <f t="shared" si="84"/>
        <v>0</v>
      </c>
    </row>
    <row r="488" spans="1:19">
      <c r="A488" s="154"/>
      <c r="B488" s="57"/>
      <c r="C488" s="24">
        <f t="shared" si="85"/>
        <v>1</v>
      </c>
      <c r="D488" s="675"/>
      <c r="E488" s="24">
        <f t="shared" si="86"/>
        <v>1</v>
      </c>
      <c r="F488" s="675"/>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si="93"/>
        <v>0</v>
      </c>
      <c r="S488" s="321">
        <f t="shared" si="84"/>
        <v>0</v>
      </c>
    </row>
    <row r="489" spans="1:19">
      <c r="A489" s="154"/>
      <c r="B489" s="57"/>
      <c r="C489" s="24">
        <f t="shared" si="85"/>
        <v>1</v>
      </c>
      <c r="D489" s="675"/>
      <c r="E489" s="24">
        <f t="shared" si="86"/>
        <v>1</v>
      </c>
      <c r="F489" s="675"/>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si="93"/>
        <v>0</v>
      </c>
      <c r="S489" s="321">
        <f t="shared" si="84"/>
        <v>0</v>
      </c>
    </row>
    <row r="490" spans="1:19">
      <c r="A490" s="154"/>
      <c r="B490" s="57"/>
      <c r="C490" s="24">
        <f t="shared" si="85"/>
        <v>1</v>
      </c>
      <c r="D490" s="675"/>
      <c r="E490" s="24">
        <f t="shared" si="86"/>
        <v>1</v>
      </c>
      <c r="F490" s="675"/>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si="93"/>
        <v>0</v>
      </c>
      <c r="S490" s="321">
        <f t="shared" si="84"/>
        <v>0</v>
      </c>
    </row>
    <row r="491" spans="1:19">
      <c r="A491" s="154"/>
      <c r="B491" s="57"/>
      <c r="C491" s="24">
        <f t="shared" si="85"/>
        <v>1</v>
      </c>
      <c r="D491" s="675"/>
      <c r="E491" s="24">
        <f t="shared" si="86"/>
        <v>1</v>
      </c>
      <c r="F491" s="675"/>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si="93"/>
        <v>0</v>
      </c>
      <c r="S491" s="321">
        <f t="shared" si="84"/>
        <v>0</v>
      </c>
    </row>
    <row r="492" spans="1:19">
      <c r="A492" s="154"/>
      <c r="B492" s="57"/>
      <c r="C492" s="24">
        <f t="shared" si="85"/>
        <v>1</v>
      </c>
      <c r="D492" s="675"/>
      <c r="E492" s="24">
        <f t="shared" si="86"/>
        <v>1</v>
      </c>
      <c r="F492" s="675"/>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si="93"/>
        <v>0</v>
      </c>
      <c r="S492" s="321">
        <f t="shared" si="84"/>
        <v>0</v>
      </c>
    </row>
    <row r="493" spans="1:19">
      <c r="A493" s="154"/>
      <c r="B493" s="57"/>
      <c r="C493" s="24">
        <f t="shared" si="85"/>
        <v>1</v>
      </c>
      <c r="D493" s="675"/>
      <c r="E493" s="24">
        <f t="shared" si="86"/>
        <v>1</v>
      </c>
      <c r="F493" s="675"/>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si="93"/>
        <v>0</v>
      </c>
      <c r="S493" s="321">
        <f t="shared" si="84"/>
        <v>0</v>
      </c>
    </row>
    <row r="494" spans="1:19">
      <c r="A494" s="154"/>
      <c r="B494" s="57"/>
      <c r="C494" s="24">
        <f t="shared" si="85"/>
        <v>1</v>
      </c>
      <c r="D494" s="675"/>
      <c r="E494" s="24">
        <f t="shared" si="86"/>
        <v>1</v>
      </c>
      <c r="F494" s="675"/>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si="93"/>
        <v>0</v>
      </c>
      <c r="S494" s="321">
        <f t="shared" si="84"/>
        <v>0</v>
      </c>
    </row>
    <row r="495" spans="1:19">
      <c r="A495" s="154"/>
      <c r="B495" s="57"/>
      <c r="C495" s="24">
        <f t="shared" si="85"/>
        <v>1</v>
      </c>
      <c r="D495" s="675"/>
      <c r="E495" s="24">
        <f t="shared" si="86"/>
        <v>1</v>
      </c>
      <c r="F495" s="675"/>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si="93"/>
        <v>0</v>
      </c>
      <c r="S495" s="321">
        <f t="shared" si="84"/>
        <v>0</v>
      </c>
    </row>
    <row r="496" spans="1:19">
      <c r="A496" s="154"/>
      <c r="B496" s="57"/>
      <c r="C496" s="24">
        <f t="shared" si="85"/>
        <v>1</v>
      </c>
      <c r="D496" s="675"/>
      <c r="E496" s="24">
        <f t="shared" si="86"/>
        <v>1</v>
      </c>
      <c r="F496" s="675"/>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si="93"/>
        <v>0</v>
      </c>
      <c r="S496" s="321">
        <f t="shared" si="84"/>
        <v>0</v>
      </c>
    </row>
    <row r="497" spans="1:19">
      <c r="A497" s="154"/>
      <c r="B497" s="57"/>
      <c r="C497" s="24">
        <f t="shared" si="85"/>
        <v>1</v>
      </c>
      <c r="D497" s="675"/>
      <c r="E497" s="24">
        <f t="shared" si="86"/>
        <v>1</v>
      </c>
      <c r="F497" s="675"/>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si="93"/>
        <v>0</v>
      </c>
      <c r="S497" s="321">
        <f t="shared" si="84"/>
        <v>0</v>
      </c>
    </row>
    <row r="498" spans="1:19">
      <c r="A498" s="154"/>
      <c r="B498" s="57"/>
      <c r="C498" s="24">
        <f t="shared" si="85"/>
        <v>1</v>
      </c>
      <c r="D498" s="675"/>
      <c r="E498" s="24">
        <f t="shared" si="86"/>
        <v>1</v>
      </c>
      <c r="F498" s="675"/>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si="93"/>
        <v>0</v>
      </c>
      <c r="S498" s="321">
        <f t="shared" ref="S498:S524" si="94">ROUND(R498*B498/10000,0)</f>
        <v>0</v>
      </c>
    </row>
    <row r="499" spans="1:19">
      <c r="A499" s="154"/>
      <c r="B499" s="57"/>
      <c r="C499" s="24">
        <f t="shared" si="85"/>
        <v>1</v>
      </c>
      <c r="D499" s="675"/>
      <c r="E499" s="24">
        <f t="shared" si="86"/>
        <v>1</v>
      </c>
      <c r="F499" s="675"/>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si="93"/>
        <v>0</v>
      </c>
      <c r="S499" s="321">
        <f t="shared" si="94"/>
        <v>0</v>
      </c>
    </row>
    <row r="500" spans="1:19">
      <c r="A500" s="154"/>
      <c r="B500" s="57"/>
      <c r="C500" s="24">
        <f t="shared" si="85"/>
        <v>1</v>
      </c>
      <c r="D500" s="675"/>
      <c r="E500" s="24">
        <f t="shared" si="86"/>
        <v>1</v>
      </c>
      <c r="F500" s="675"/>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si="93"/>
        <v>0</v>
      </c>
      <c r="S500" s="321">
        <f t="shared" si="94"/>
        <v>0</v>
      </c>
    </row>
    <row r="501" spans="1:19">
      <c r="A501" s="154"/>
      <c r="B501" s="57"/>
      <c r="C501" s="24">
        <f t="shared" si="85"/>
        <v>1</v>
      </c>
      <c r="D501" s="675"/>
      <c r="E501" s="24">
        <f t="shared" si="86"/>
        <v>1</v>
      </c>
      <c r="F501" s="675"/>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si="93"/>
        <v>0</v>
      </c>
      <c r="S501" s="321">
        <f t="shared" si="94"/>
        <v>0</v>
      </c>
    </row>
    <row r="502" spans="1:19">
      <c r="A502" s="154"/>
      <c r="B502" s="57"/>
      <c r="C502" s="24">
        <f t="shared" si="85"/>
        <v>1</v>
      </c>
      <c r="D502" s="675"/>
      <c r="E502" s="24">
        <f t="shared" si="86"/>
        <v>1</v>
      </c>
      <c r="F502" s="675"/>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si="93"/>
        <v>0</v>
      </c>
      <c r="S502" s="321">
        <f t="shared" si="94"/>
        <v>0</v>
      </c>
    </row>
    <row r="503" spans="1:19">
      <c r="A503" s="154"/>
      <c r="B503" s="57"/>
      <c r="C503" s="24">
        <f t="shared" si="85"/>
        <v>1</v>
      </c>
      <c r="D503" s="675"/>
      <c r="E503" s="24">
        <f t="shared" si="86"/>
        <v>1</v>
      </c>
      <c r="F503" s="675"/>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si="93"/>
        <v>0</v>
      </c>
      <c r="S503" s="321">
        <f t="shared" si="94"/>
        <v>0</v>
      </c>
    </row>
    <row r="504" spans="1:19">
      <c r="A504" s="154"/>
      <c r="B504" s="57"/>
      <c r="C504" s="24">
        <f t="shared" si="85"/>
        <v>1</v>
      </c>
      <c r="D504" s="675"/>
      <c r="E504" s="24">
        <f t="shared" si="86"/>
        <v>1</v>
      </c>
      <c r="F504" s="675"/>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si="93"/>
        <v>0</v>
      </c>
      <c r="S504" s="321">
        <f t="shared" si="94"/>
        <v>0</v>
      </c>
    </row>
    <row r="505" spans="1:19">
      <c r="A505" s="154"/>
      <c r="B505" s="57"/>
      <c r="C505" s="24">
        <f t="shared" si="85"/>
        <v>1</v>
      </c>
      <c r="D505" s="675"/>
      <c r="E505" s="24">
        <f t="shared" si="86"/>
        <v>1</v>
      </c>
      <c r="F505" s="675"/>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si="93"/>
        <v>0</v>
      </c>
      <c r="S505" s="321">
        <f t="shared" si="94"/>
        <v>0</v>
      </c>
    </row>
    <row r="506" spans="1:19">
      <c r="A506" s="154"/>
      <c r="B506" s="57"/>
      <c r="C506" s="24">
        <f t="shared" si="85"/>
        <v>1</v>
      </c>
      <c r="D506" s="675"/>
      <c r="E506" s="24">
        <f t="shared" si="86"/>
        <v>1</v>
      </c>
      <c r="F506" s="675"/>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si="93"/>
        <v>0</v>
      </c>
      <c r="S506" s="321">
        <f t="shared" si="94"/>
        <v>0</v>
      </c>
    </row>
    <row r="507" spans="1:19">
      <c r="A507" s="154"/>
      <c r="B507" s="57"/>
      <c r="C507" s="24">
        <f t="shared" si="85"/>
        <v>1</v>
      </c>
      <c r="D507" s="675"/>
      <c r="E507" s="24">
        <f t="shared" si="86"/>
        <v>1</v>
      </c>
      <c r="F507" s="675"/>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si="93"/>
        <v>0</v>
      </c>
      <c r="S507" s="321">
        <f t="shared" si="94"/>
        <v>0</v>
      </c>
    </row>
    <row r="508" spans="1:19">
      <c r="A508" s="154"/>
      <c r="B508" s="57"/>
      <c r="C508" s="24">
        <f t="shared" si="85"/>
        <v>1</v>
      </c>
      <c r="D508" s="675"/>
      <c r="E508" s="24">
        <f t="shared" si="86"/>
        <v>1</v>
      </c>
      <c r="F508" s="675"/>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si="93"/>
        <v>0</v>
      </c>
      <c r="S508" s="321">
        <f t="shared" si="94"/>
        <v>0</v>
      </c>
    </row>
    <row r="509" spans="1:19">
      <c r="A509" s="154"/>
      <c r="B509" s="57"/>
      <c r="C509" s="24">
        <f t="shared" si="85"/>
        <v>1</v>
      </c>
      <c r="D509" s="675"/>
      <c r="E509" s="24">
        <f t="shared" si="86"/>
        <v>1</v>
      </c>
      <c r="F509" s="675"/>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si="93"/>
        <v>0</v>
      </c>
      <c r="S509" s="321">
        <f t="shared" si="94"/>
        <v>0</v>
      </c>
    </row>
    <row r="510" spans="1:19">
      <c r="A510" s="154"/>
      <c r="B510" s="57"/>
      <c r="C510" s="24">
        <f t="shared" si="85"/>
        <v>1</v>
      </c>
      <c r="D510" s="675"/>
      <c r="E510" s="24">
        <f t="shared" si="86"/>
        <v>1</v>
      </c>
      <c r="F510" s="675"/>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si="93"/>
        <v>0</v>
      </c>
      <c r="S510" s="321">
        <f t="shared" si="94"/>
        <v>0</v>
      </c>
    </row>
    <row r="511" spans="1:19">
      <c r="A511" s="154"/>
      <c r="B511" s="57"/>
      <c r="C511" s="24">
        <f t="shared" si="85"/>
        <v>1</v>
      </c>
      <c r="D511" s="675"/>
      <c r="E511" s="24">
        <f t="shared" si="86"/>
        <v>1</v>
      </c>
      <c r="F511" s="675"/>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si="93"/>
        <v>0</v>
      </c>
      <c r="S511" s="321">
        <f t="shared" si="94"/>
        <v>0</v>
      </c>
    </row>
    <row r="512" spans="1:19">
      <c r="A512" s="154"/>
      <c r="B512" s="57"/>
      <c r="C512" s="24">
        <f t="shared" si="85"/>
        <v>1</v>
      </c>
      <c r="D512" s="675"/>
      <c r="E512" s="24">
        <f t="shared" si="86"/>
        <v>1</v>
      </c>
      <c r="F512" s="675"/>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si="93"/>
        <v>0</v>
      </c>
      <c r="S512" s="321">
        <f t="shared" si="94"/>
        <v>0</v>
      </c>
    </row>
    <row r="513" spans="1:19">
      <c r="A513" s="154"/>
      <c r="B513" s="57"/>
      <c r="C513" s="24">
        <f t="shared" si="85"/>
        <v>1</v>
      </c>
      <c r="D513" s="675"/>
      <c r="E513" s="24">
        <f t="shared" si="86"/>
        <v>1</v>
      </c>
      <c r="F513" s="675"/>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si="93"/>
        <v>0</v>
      </c>
      <c r="S513" s="321">
        <f t="shared" si="94"/>
        <v>0</v>
      </c>
    </row>
    <row r="514" spans="1:19">
      <c r="A514" s="154"/>
      <c r="B514" s="57"/>
      <c r="C514" s="24">
        <f t="shared" si="85"/>
        <v>1</v>
      </c>
      <c r="D514" s="675"/>
      <c r="E514" s="24">
        <f t="shared" si="86"/>
        <v>1</v>
      </c>
      <c r="F514" s="675"/>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si="93"/>
        <v>0</v>
      </c>
      <c r="S514" s="321">
        <f t="shared" si="94"/>
        <v>0</v>
      </c>
    </row>
    <row r="515" spans="1:19">
      <c r="A515" s="154"/>
      <c r="B515" s="57"/>
      <c r="C515" s="24">
        <f t="shared" si="85"/>
        <v>1</v>
      </c>
      <c r="D515" s="675"/>
      <c r="E515" s="24">
        <f t="shared" si="86"/>
        <v>1</v>
      </c>
      <c r="F515" s="675"/>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si="93"/>
        <v>0</v>
      </c>
      <c r="S515" s="321">
        <f t="shared" si="94"/>
        <v>0</v>
      </c>
    </row>
    <row r="516" spans="1:19">
      <c r="A516" s="154"/>
      <c r="B516" s="57"/>
      <c r="C516" s="24">
        <f t="shared" si="85"/>
        <v>1</v>
      </c>
      <c r="D516" s="675"/>
      <c r="E516" s="24">
        <f t="shared" si="86"/>
        <v>1</v>
      </c>
      <c r="F516" s="675"/>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si="93"/>
        <v>0</v>
      </c>
      <c r="S516" s="321">
        <f t="shared" si="94"/>
        <v>0</v>
      </c>
    </row>
    <row r="517" spans="1:19">
      <c r="A517" s="154"/>
      <c r="B517" s="57"/>
      <c r="C517" s="24">
        <f t="shared" si="85"/>
        <v>1</v>
      </c>
      <c r="D517" s="675"/>
      <c r="E517" s="24">
        <f t="shared" si="86"/>
        <v>1</v>
      </c>
      <c r="F517" s="675"/>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si="93"/>
        <v>0</v>
      </c>
      <c r="S517" s="321">
        <f t="shared" si="94"/>
        <v>0</v>
      </c>
    </row>
    <row r="518" spans="1:19">
      <c r="A518" s="154"/>
      <c r="B518" s="57"/>
      <c r="C518" s="24">
        <f t="shared" si="85"/>
        <v>1</v>
      </c>
      <c r="D518" s="675"/>
      <c r="E518" s="24">
        <f t="shared" si="86"/>
        <v>1</v>
      </c>
      <c r="F518" s="675"/>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si="93"/>
        <v>0</v>
      </c>
      <c r="S518" s="321">
        <f t="shared" si="94"/>
        <v>0</v>
      </c>
    </row>
    <row r="519" spans="1:19">
      <c r="A519" s="154"/>
      <c r="B519" s="57"/>
      <c r="C519" s="24">
        <f t="shared" si="85"/>
        <v>1</v>
      </c>
      <c r="D519" s="675"/>
      <c r="E519" s="24">
        <f t="shared" si="86"/>
        <v>1</v>
      </c>
      <c r="F519" s="675"/>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si="93"/>
        <v>0</v>
      </c>
      <c r="S519" s="321">
        <f t="shared" si="94"/>
        <v>0</v>
      </c>
    </row>
    <row r="520" spans="1:19">
      <c r="A520" s="154"/>
      <c r="B520" s="57"/>
      <c r="C520" s="24">
        <f t="shared" si="85"/>
        <v>1</v>
      </c>
      <c r="D520" s="675"/>
      <c r="E520" s="24">
        <f t="shared" si="86"/>
        <v>1</v>
      </c>
      <c r="F520" s="675"/>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si="93"/>
        <v>0</v>
      </c>
      <c r="S520" s="321">
        <f t="shared" si="94"/>
        <v>0</v>
      </c>
    </row>
    <row r="521" spans="1:19">
      <c r="A521" s="154"/>
      <c r="B521" s="57"/>
      <c r="C521" s="24">
        <f t="shared" si="85"/>
        <v>1</v>
      </c>
      <c r="D521" s="675"/>
      <c r="E521" s="24">
        <f t="shared" si="86"/>
        <v>1</v>
      </c>
      <c r="F521" s="675"/>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si="93"/>
        <v>0</v>
      </c>
      <c r="S521" s="321">
        <f t="shared" si="94"/>
        <v>0</v>
      </c>
    </row>
    <row r="522" spans="1:19">
      <c r="A522" s="154"/>
      <c r="B522" s="57"/>
      <c r="C522" s="24">
        <f t="shared" si="85"/>
        <v>1</v>
      </c>
      <c r="D522" s="675"/>
      <c r="E522" s="24">
        <f t="shared" si="86"/>
        <v>1</v>
      </c>
      <c r="F522" s="675"/>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si="93"/>
        <v>0</v>
      </c>
      <c r="S522" s="321">
        <f t="shared" si="94"/>
        <v>0</v>
      </c>
    </row>
    <row r="523" spans="1:19">
      <c r="A523" s="154"/>
      <c r="B523" s="57"/>
      <c r="C523" s="24">
        <f t="shared" si="85"/>
        <v>1</v>
      </c>
      <c r="D523" s="675"/>
      <c r="E523" s="24">
        <f t="shared" si="86"/>
        <v>1</v>
      </c>
      <c r="F523" s="675"/>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si="93"/>
        <v>0</v>
      </c>
      <c r="S523" s="321">
        <f t="shared" si="94"/>
        <v>0</v>
      </c>
    </row>
    <row r="524" spans="1:19">
      <c r="A524" s="154"/>
      <c r="B524" s="57"/>
      <c r="C524" s="24">
        <f t="shared" si="85"/>
        <v>1</v>
      </c>
      <c r="D524" s="675"/>
      <c r="E524" s="24">
        <f t="shared" si="86"/>
        <v>1</v>
      </c>
      <c r="F524" s="675"/>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D00-000000000000}">
      <formula1>一修多修正项2</formula1>
    </dataValidation>
    <dataValidation type="list" allowBlank="1" showInputMessage="1" showErrorMessage="1" sqref="F24:F524" xr:uid="{00000000-0002-0000-2D00-000001000000}">
      <formula1>一修多修正项3</formula1>
    </dataValidation>
    <dataValidation type="list" allowBlank="1" showInputMessage="1" showErrorMessage="1" sqref="H24:H524" xr:uid="{00000000-0002-0000-2D00-000002000000}">
      <formula1>一修多修正项4</formula1>
    </dataValidation>
    <dataValidation type="list" allowBlank="1" showInputMessage="1" showErrorMessage="1" sqref="J24:J524" xr:uid="{00000000-0002-0000-2D00-000003000000}">
      <formula1>一修多修正项5</formula1>
    </dataValidation>
    <dataValidation type="list" allowBlank="1" showInputMessage="1" showErrorMessage="1" sqref="L24:L524" xr:uid="{00000000-0002-0000-2D00-000004000000}">
      <formula1>一修多修正项6</formula1>
    </dataValidation>
    <dataValidation type="list" allowBlank="1" showInputMessage="1" showErrorMessage="1" sqref="N24:N524" xr:uid="{00000000-0002-0000-2D00-000005000000}">
      <formula1>一修多修正项7</formula1>
    </dataValidation>
    <dataValidation type="list" allowBlank="1" showInputMessage="1" showErrorMessage="1" sqref="P24:P524" xr:uid="{00000000-0002-0000-2D00-000006000000}">
      <formula1>一修多修正项8</formula1>
    </dataValidation>
    <dataValidation type="list" allowBlank="1" showInputMessage="1" showErrorMessage="1" sqref="D20" xr:uid="{00000000-0002-0000-2D00-000007000000}">
      <formula1>"需扣减承租人权益,——"</formula1>
    </dataValidation>
    <dataValidation type="list" allowBlank="1" showInputMessage="1" showErrorMessage="1" sqref="H20" xr:uid="{00000000-0002-0000-2D00-000008000000}">
      <formula1>估价方法</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C52</f>
        <v>36443</v>
      </c>
      <c r="C2" s="2" t="s">
        <v>133</v>
      </c>
      <c r="D2" s="204"/>
      <c r="E2" s="204"/>
      <c r="F2" s="204"/>
      <c r="G2" s="204"/>
    </row>
    <row r="3" spans="1:7" s="205" customFormat="1" ht="18" customHeight="1" thickBot="1">
      <c r="A3" s="208" t="s">
        <v>85</v>
      </c>
      <c r="B3" s="209">
        <f>ROUND(B2*10000/'数据-汇总表'!E3,0)</f>
        <v>17508</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416</v>
      </c>
      <c r="D10" s="953">
        <f>'数据-汇总表'!E6</f>
        <v>20815.18</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416</v>
      </c>
      <c r="D19" s="957">
        <f>'数据-汇总表'!E3</f>
        <v>20815.18</v>
      </c>
      <c r="E19" s="216">
        <f>'数据-取费表'!B31</f>
        <v>200</v>
      </c>
      <c r="F19" s="236"/>
      <c r="G19" s="1" t="s">
        <v>1042</v>
      </c>
    </row>
    <row r="20" spans="1:7" s="219" customFormat="1" ht="13.5" customHeight="1">
      <c r="A20" s="884" t="s">
        <v>1025</v>
      </c>
      <c r="B20" s="215" t="s">
        <v>104</v>
      </c>
      <c r="C20" s="237">
        <f>ROUND((C5+C19)*F20,0)</f>
        <v>421</v>
      </c>
      <c r="D20" s="237"/>
      <c r="E20" s="237"/>
      <c r="F20" s="238">
        <f>'数据-取费表'!B37</f>
        <v>0.02</v>
      </c>
      <c r="G20" s="1198" t="s">
        <v>1036</v>
      </c>
    </row>
    <row r="21" spans="1:7" s="219" customFormat="1" ht="13.5" customHeight="1">
      <c r="A21" s="884" t="s">
        <v>1027</v>
      </c>
      <c r="B21" s="215" t="s">
        <v>105</v>
      </c>
      <c r="C21" s="240">
        <f>F21</f>
        <v>0.02</v>
      </c>
      <c r="D21" s="241" t="s">
        <v>126</v>
      </c>
      <c r="E21" s="237"/>
      <c r="F21" s="238">
        <f>'数据-取费表'!B38</f>
        <v>0.02</v>
      </c>
      <c r="G21" s="239" t="s">
        <v>106</v>
      </c>
    </row>
    <row r="22" spans="1:7" s="219" customFormat="1" ht="13.5" customHeight="1">
      <c r="A22" s="884" t="s">
        <v>786</v>
      </c>
      <c r="B22" s="215" t="s">
        <v>107</v>
      </c>
      <c r="C22" s="1235">
        <f>ROUND(SUM(C23:C25),0)</f>
        <v>2064</v>
      </c>
      <c r="D22" s="240">
        <f>C26</f>
        <v>1E-3</v>
      </c>
      <c r="E22" s="241" t="s">
        <v>126</v>
      </c>
      <c r="F22" s="242">
        <f>'数据-取费表'!B40</f>
        <v>4.7500000000000001E-2</v>
      </c>
      <c r="G22" s="1198" t="str">
        <f>IF('数据-取费表'!B22&lt;=1,"单利计息","复利计息")</f>
        <v>复利计息</v>
      </c>
    </row>
    <row r="23" spans="1:7" s="219" customFormat="1" ht="13.5" customHeight="1">
      <c r="A23" s="887" t="s">
        <v>794</v>
      </c>
      <c r="B23" s="220" t="s">
        <v>1029</v>
      </c>
      <c r="C23" s="1236">
        <f>ROUND(IF('数据-取费表'!B22&lt;=1,C5*F22*'数据-取费表'!B23,C5*(POWER((1+F22),'数据-取费表'!B23)-1)),0)</f>
        <v>2004</v>
      </c>
      <c r="D23" s="243"/>
      <c r="E23" s="243"/>
      <c r="F23" s="244"/>
      <c r="G23" s="245" t="s">
        <v>108</v>
      </c>
    </row>
    <row r="24" spans="1:7" s="219" customFormat="1" ht="13.5" customHeight="1">
      <c r="A24" s="887" t="s">
        <v>792</v>
      </c>
      <c r="B24" s="220" t="s">
        <v>1024</v>
      </c>
      <c r="C24" s="1236">
        <f>ROUND(IF('数据-取费表'!B22&lt;=1,C19*F22*('数据-取费表'!B19/2+'数据-取费表'!B21),C19*(POWER((1+F22),('数据-取费表'!B19/2+'数据-取费表'!B21))-1)),0)</f>
        <v>40</v>
      </c>
      <c r="D24" s="243"/>
      <c r="E24" s="243"/>
      <c r="F24" s="244"/>
      <c r="G24" s="245" t="s">
        <v>109</v>
      </c>
    </row>
    <row r="25" spans="1:7" s="219" customFormat="1" ht="24">
      <c r="A25" s="887" t="s">
        <v>793</v>
      </c>
      <c r="B25" s="220" t="s">
        <v>1026</v>
      </c>
      <c r="C25" s="1236">
        <f>ROUND(IF('数据-取费表'!B22&lt;=1,C20*F22*'数据-取费表'!B23/2,C20*(POWER((1+F22),'数据-取费表'!B23/2)-1)),0)</f>
        <v>20</v>
      </c>
      <c r="D25" s="243"/>
      <c r="E25" s="246"/>
      <c r="F25" s="244"/>
      <c r="G25" s="247" t="s">
        <v>110</v>
      </c>
    </row>
    <row r="26" spans="1:7" s="219" customFormat="1">
      <c r="A26" s="887" t="s">
        <v>795</v>
      </c>
      <c r="B26" s="220" t="s">
        <v>1028</v>
      </c>
      <c r="C26" s="243">
        <f>ROUND(IF('数据-取费表'!B22&lt;=1,F21*F22*'数据-取费表'!B23/2,F21*(POWER((1+F22),'数据-取费表'!B23/2)-1)),4)</f>
        <v>1E-3</v>
      </c>
      <c r="D26" s="243"/>
      <c r="E26" s="246"/>
      <c r="F26" s="244"/>
      <c r="G26" s="248"/>
    </row>
    <row r="27" spans="1:7" s="219" customFormat="1" ht="24.75">
      <c r="A27" s="884" t="s">
        <v>787</v>
      </c>
      <c r="B27" s="249" t="s">
        <v>112</v>
      </c>
      <c r="C27" s="250">
        <f>C28</f>
        <v>1072</v>
      </c>
      <c r="D27" s="240">
        <f>C29</f>
        <v>1E-3</v>
      </c>
      <c r="E27" s="241" t="s">
        <v>126</v>
      </c>
      <c r="F27" s="251">
        <f>'数据-取费表'!Q16</f>
        <v>0.05</v>
      </c>
      <c r="G27" s="252" t="s">
        <v>1037</v>
      </c>
    </row>
    <row r="28" spans="1:7" s="219" customFormat="1" ht="13.5" customHeight="1">
      <c r="A28" s="887" t="s">
        <v>794</v>
      </c>
      <c r="B28" s="253" t="s">
        <v>1030</v>
      </c>
      <c r="C28" s="254">
        <f>ROUND((C5+C19+C20)*F27*'数据-取费表'!B21/'数据-取费表'!B20,0)</f>
        <v>1072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ROUND((C5+C19+C20+C22+C27)/(1-C21-D22-D27-C30/(1+'数据-取费表'!B42)),0)</f>
        <v>26558</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8174</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7285</v>
      </c>
      <c r="D34" s="222"/>
      <c r="E34" s="225"/>
      <c r="F34" s="262">
        <f>IF('数据-取费表'!B24=0,1,'数据-取费表'!N16)</f>
        <v>1</v>
      </c>
      <c r="G34" s="224" t="s">
        <v>116</v>
      </c>
    </row>
    <row r="35" spans="1:7" ht="13.5" customHeight="1">
      <c r="A35" s="887" t="s">
        <v>796</v>
      </c>
      <c r="B35" s="220" t="s">
        <v>60</v>
      </c>
      <c r="C35" s="225">
        <f>ROUND(C34*F35,0)</f>
        <v>364</v>
      </c>
      <c r="D35" s="225"/>
      <c r="E35" s="225"/>
      <c r="F35" s="264">
        <f>'数据-取费表'!B33</f>
        <v>0.05</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416</v>
      </c>
      <c r="D37" s="222">
        <f>'数据-汇总表'!E3</f>
        <v>20815.18</v>
      </c>
      <c r="E37" s="254">
        <f>'数据-取费表'!B35</f>
        <v>200</v>
      </c>
      <c r="F37" s="264"/>
      <c r="G37" s="266" t="s">
        <v>119</v>
      </c>
    </row>
    <row r="38" spans="1:7" ht="13.5" customHeight="1">
      <c r="A38" s="887" t="s">
        <v>799</v>
      </c>
      <c r="B38" s="220" t="s">
        <v>63</v>
      </c>
      <c r="C38" s="225">
        <f>ROUND(C34*F38,0)</f>
        <v>109</v>
      </c>
      <c r="D38" s="225"/>
      <c r="E38" s="225"/>
      <c r="F38" s="264">
        <f>'数据-取费表'!B36</f>
        <v>1.4999999999999999E-2</v>
      </c>
      <c r="G38" s="224" t="s">
        <v>117</v>
      </c>
    </row>
    <row r="39" spans="1:7" s="219" customFormat="1" ht="13.5" customHeight="1">
      <c r="A39" s="884" t="s">
        <v>783</v>
      </c>
      <c r="B39" s="215" t="s">
        <v>104</v>
      </c>
      <c r="C39" s="237">
        <f>ROUND(C33*F20,0)</f>
        <v>163</v>
      </c>
      <c r="D39" s="237"/>
      <c r="E39" s="237"/>
      <c r="F39" s="238"/>
      <c r="G39" s="1198" t="s">
        <v>1039</v>
      </c>
    </row>
    <row r="40" spans="1:7" s="219" customFormat="1" ht="13.5" customHeight="1">
      <c r="A40" s="884" t="s">
        <v>784</v>
      </c>
      <c r="B40" s="215" t="s">
        <v>105</v>
      </c>
      <c r="C40" s="267">
        <f>F21</f>
        <v>0.02</v>
      </c>
      <c r="D40" s="241" t="s">
        <v>129</v>
      </c>
      <c r="E40" s="237"/>
      <c r="F40" s="238"/>
      <c r="G40" s="239" t="s">
        <v>120</v>
      </c>
    </row>
    <row r="41" spans="1:7" s="219" customFormat="1" ht="13.5" customHeight="1">
      <c r="A41" s="884" t="s">
        <v>785</v>
      </c>
      <c r="B41" s="215" t="s">
        <v>107</v>
      </c>
      <c r="C41" s="237">
        <f>ROUND(SUM(C42:C43),0)</f>
        <v>396</v>
      </c>
      <c r="D41" s="240">
        <f>C44</f>
        <v>1E-3</v>
      </c>
      <c r="E41" s="241" t="s">
        <v>129</v>
      </c>
      <c r="F41" s="242"/>
      <c r="G41" s="1198" t="str">
        <f>IF('数据-取费表'!B22&lt;=1,"单利计息","复利计息")</f>
        <v>复利计息</v>
      </c>
    </row>
    <row r="42" spans="1:7" ht="13.5" customHeight="1">
      <c r="A42" s="887" t="s">
        <v>794</v>
      </c>
      <c r="B42" s="220" t="s">
        <v>1029</v>
      </c>
      <c r="C42" s="243">
        <f>ROUND(IF('数据-取费表'!B22&lt;=1,C33*F22*'数据-取费表'!B21/2,C33*(POWER((1+F22),'数据-取费表'!B21/2)-1)),0)</f>
        <v>388</v>
      </c>
      <c r="D42" s="243"/>
      <c r="E42" s="243"/>
      <c r="F42" s="244"/>
      <c r="G42" s="3500" t="s">
        <v>121</v>
      </c>
    </row>
    <row r="43" spans="1:7" ht="13.5" customHeight="1">
      <c r="A43" s="887" t="s">
        <v>792</v>
      </c>
      <c r="B43" s="220" t="s">
        <v>1032</v>
      </c>
      <c r="C43" s="243">
        <f>ROUND(IF('数据-取费表'!B22&lt;=1,C39*F22*'数据-取费表'!B21/2,C39*(POWER((1+F22),'数据-取费表'!B21/2)-1)),0)</f>
        <v>8</v>
      </c>
      <c r="D43" s="243"/>
      <c r="E43" s="243"/>
      <c r="F43" s="244"/>
      <c r="G43" s="3501"/>
    </row>
    <row r="44" spans="1:7" ht="13.5" customHeight="1">
      <c r="A44" s="887" t="s">
        <v>793</v>
      </c>
      <c r="B44" s="220" t="s">
        <v>1034</v>
      </c>
      <c r="C44" s="243">
        <f>ROUND(IF('数据-取费表'!B22&lt;=1,C40*F22*'数据-取费表'!B21/2,C40*(POWER((1+F22),'数据-取费表'!B21/2)-1)),4)</f>
        <v>1E-3</v>
      </c>
      <c r="D44" s="243"/>
      <c r="E44" s="243"/>
      <c r="F44" s="244"/>
      <c r="G44" s="3502"/>
    </row>
    <row r="45" spans="1:7" s="219" customFormat="1" ht="13.5" customHeight="1">
      <c r="A45" s="884" t="s">
        <v>786</v>
      </c>
      <c r="B45" s="249" t="s">
        <v>112</v>
      </c>
      <c r="C45" s="250">
        <f>C46</f>
        <v>417</v>
      </c>
      <c r="D45" s="240">
        <f>C47</f>
        <v>1E-3</v>
      </c>
      <c r="E45" s="241" t="s">
        <v>129</v>
      </c>
      <c r="F45" s="251"/>
      <c r="G45" s="252" t="s">
        <v>1040</v>
      </c>
    </row>
    <row r="46" spans="1:7" s="219" customFormat="1" ht="13.5" customHeight="1">
      <c r="A46" s="887" t="s">
        <v>794</v>
      </c>
      <c r="B46" s="253" t="s">
        <v>1033</v>
      </c>
      <c r="C46" s="254">
        <f>ROUND((C33+C39)*F27,0)</f>
        <v>417</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ROUND((C33+C39+C41+C45)/(1-C40-D41-D45-C48/(1+'数据-取费表'!B42)),0)</f>
        <v>9885</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ROUND(C49*F50,0)</f>
        <v>9885</v>
      </c>
      <c r="D51" s="237"/>
      <c r="E51" s="237"/>
      <c r="F51" s="269"/>
      <c r="G51" s="239" t="s">
        <v>64</v>
      </c>
    </row>
    <row r="52" spans="1:7" s="213" customFormat="1" ht="16.5" thickBot="1">
      <c r="A52" s="270" t="s">
        <v>65</v>
      </c>
      <c r="B52" s="271"/>
      <c r="C52" s="272">
        <f>C31+C51</f>
        <v>36443</v>
      </c>
      <c r="D52" s="271"/>
      <c r="E52" s="271"/>
      <c r="F52" s="271"/>
      <c r="G52" s="273"/>
    </row>
    <row r="55" spans="1:7" ht="15">
      <c r="B55" s="275" t="s">
        <v>66</v>
      </c>
      <c r="C55" s="276"/>
    </row>
    <row r="56" spans="1:7">
      <c r="B56" s="278" t="s">
        <v>67</v>
      </c>
      <c r="C56" s="279">
        <f>ROUND(C51/C52,3)</f>
        <v>0.27100000000000002</v>
      </c>
    </row>
    <row r="57" spans="1:7">
      <c r="B57" s="278" t="s">
        <v>68</v>
      </c>
      <c r="C57" s="280">
        <f>1-C56</f>
        <v>0.72899999999999998</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9" t="s">
        <v>156</v>
      </c>
      <c r="B1" s="3599"/>
      <c r="C1" s="3599"/>
      <c r="D1" s="3599"/>
      <c r="E1" s="3599"/>
      <c r="F1" s="3599"/>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600" t="s">
        <v>169</v>
      </c>
      <c r="B2" s="3600"/>
      <c r="C2" s="3600"/>
      <c r="D2" s="3600"/>
      <c r="E2" s="3600"/>
      <c r="F2" s="3600"/>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601"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2"/>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9" t="s">
        <v>839</v>
      </c>
      <c r="B1" s="3599"/>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80" t="str">
        <f>IF(项目基本情况!B9="房地产市场价值","估价结果一览表","结果表-2")</f>
        <v>估价结果一览表</v>
      </c>
      <c r="B1" s="3280"/>
      <c r="C1" s="3280"/>
      <c r="D1" s="3280"/>
      <c r="E1" s="3280"/>
      <c r="F1" s="3280"/>
      <c r="G1" s="3280"/>
      <c r="H1" s="3280"/>
      <c r="I1" s="3280"/>
    </row>
    <row r="2" spans="1:9" ht="30" customHeight="1" thickTop="1">
      <c r="A2" s="3281" t="s">
        <v>1546</v>
      </c>
      <c r="B2" s="3281" t="s">
        <v>1547</v>
      </c>
      <c r="C2" s="3281" t="s">
        <v>1548</v>
      </c>
      <c r="D2" s="3281" t="str">
        <f>'结果表-车位'!D116</f>
        <v>出让国有建设用地使用权价值</v>
      </c>
      <c r="E2" s="3281"/>
      <c r="F2" s="3281" t="str">
        <f>'结果表-车位'!F116</f>
        <v>在建建筑物价值</v>
      </c>
      <c r="G2" s="3281"/>
      <c r="H2" s="3281" t="str">
        <f>IF(项目基本情况!B9="房地产市场价值","房地产市场价值","房地产价值")</f>
        <v>房地产市场价值</v>
      </c>
      <c r="I2" s="3281"/>
    </row>
    <row r="3" spans="1:9" ht="15">
      <c r="A3" s="3275"/>
      <c r="B3" s="3275"/>
      <c r="C3" s="3275"/>
      <c r="D3" s="962" t="s">
        <v>1543</v>
      </c>
      <c r="E3" s="962" t="s">
        <v>1549</v>
      </c>
      <c r="F3" s="962" t="s">
        <v>1543</v>
      </c>
      <c r="G3" s="962" t="s">
        <v>1544</v>
      </c>
      <c r="H3" s="962" t="s">
        <v>1543</v>
      </c>
      <c r="I3" s="962" t="s">
        <v>1544</v>
      </c>
    </row>
    <row r="4" spans="1:9" ht="15">
      <c r="A4" s="1659" t="str">
        <f>项目基本情况!S2</f>
        <v>北京市房地产</v>
      </c>
      <c r="B4" s="962">
        <f>项目基本情况!C17</f>
        <v>20815.18</v>
      </c>
      <c r="C4" s="962">
        <f>项目基本情况!C18</f>
        <v>10785.07</v>
      </c>
      <c r="D4" s="962" t="e">
        <f ca="1">'结果表-车位'!D118</f>
        <v>#REF!</v>
      </c>
      <c r="E4" s="962" t="e">
        <f ca="1">'结果表-车位'!E118</f>
        <v>#REF!</v>
      </c>
      <c r="F4" s="962" t="e">
        <f ca="1">'结果表-车位'!F118</f>
        <v>#REF!</v>
      </c>
      <c r="G4" s="962" t="e">
        <f ca="1">'结果表-车位'!G118</f>
        <v>#REF!</v>
      </c>
      <c r="H4" s="962" t="e">
        <f ca="1">'结果表-车位'!H118</f>
        <v>#REF!</v>
      </c>
      <c r="I4" s="962" t="e">
        <f ca="1">'结果表-车位'!I118</f>
        <v>#REF!</v>
      </c>
    </row>
    <row r="5" spans="1:9" ht="30" customHeight="1">
      <c r="A5" s="3275" t="s">
        <v>1545</v>
      </c>
      <c r="B5" s="3275"/>
      <c r="C5" s="3275"/>
      <c r="D5" s="3276" t="e">
        <f ca="1">'结果表-车位'!D119</f>
        <v>#REF!</v>
      </c>
      <c r="E5" s="3276"/>
      <c r="F5" s="3276" t="e">
        <f ca="1">'结果表-车位'!F119</f>
        <v>#REF!</v>
      </c>
      <c r="G5" s="3276"/>
      <c r="H5" s="3276" t="e">
        <f ca="1">'结果表-车位'!H119</f>
        <v>#REF!</v>
      </c>
      <c r="I5" s="3276"/>
    </row>
    <row r="6" spans="1:9" ht="15.75">
      <c r="A6" s="3274" t="str">
        <f>'结果表-车位'!A120</f>
        <v/>
      </c>
      <c r="B6" s="3274"/>
      <c r="C6" s="3274"/>
      <c r="D6" s="3274">
        <f>'结果表-车位'!D120</f>
        <v>0</v>
      </c>
      <c r="E6" s="3274"/>
      <c r="F6" s="3274"/>
      <c r="G6" s="3274"/>
      <c r="H6" s="3274"/>
      <c r="I6" s="3274"/>
    </row>
    <row r="7" spans="1:9" ht="15">
      <c r="A7" s="3275" t="s">
        <v>1545</v>
      </c>
      <c r="B7" s="3275"/>
      <c r="C7" s="3275"/>
      <c r="D7" s="3277" t="str">
        <f>'结果表-车位'!D121</f>
        <v>零元整</v>
      </c>
      <c r="E7" s="3278"/>
      <c r="F7" s="3278"/>
      <c r="G7" s="3278"/>
      <c r="H7" s="3278"/>
      <c r="I7" s="3279"/>
    </row>
    <row r="8" spans="1:9" ht="15.75">
      <c r="A8" s="3274" t="str">
        <f>'结果表-车位'!A122</f>
        <v/>
      </c>
      <c r="B8" s="3274"/>
      <c r="C8" s="3274"/>
      <c r="D8" s="3274" t="e">
        <f ca="1">'结果表-车位'!D122</f>
        <v>#REF!</v>
      </c>
      <c r="E8" s="3274"/>
      <c r="F8" s="3274"/>
      <c r="G8" s="3274"/>
      <c r="H8" s="3274"/>
      <c r="I8" s="3274"/>
    </row>
    <row r="9" spans="1:9" ht="15">
      <c r="A9" s="3275" t="s">
        <v>1545</v>
      </c>
      <c r="B9" s="3275"/>
      <c r="C9" s="3275"/>
      <c r="D9" s="3276" t="e">
        <f ca="1">'结果表-车位'!D123</f>
        <v>#REF!</v>
      </c>
      <c r="E9" s="3276"/>
      <c r="F9" s="3276"/>
      <c r="G9" s="3276"/>
      <c r="H9" s="3276"/>
      <c r="I9" s="3276"/>
    </row>
    <row r="10" spans="1:9" ht="15.75">
      <c r="A10" s="3274" t="str">
        <f>'结果表-车位'!A124</f>
        <v/>
      </c>
      <c r="B10" s="3274"/>
      <c r="C10" s="3274"/>
      <c r="D10" s="3274" t="str">
        <f>'结果表-车位'!D124</f>
        <v>——</v>
      </c>
      <c r="E10" s="3274"/>
      <c r="F10" s="3274"/>
      <c r="G10" s="3274"/>
      <c r="H10" s="3274"/>
      <c r="I10" s="3274"/>
    </row>
    <row r="11" spans="1:9" ht="15">
      <c r="A11" s="3275" t="s">
        <v>1545</v>
      </c>
      <c r="B11" s="3275"/>
      <c r="C11" s="3275"/>
      <c r="D11" s="3276" t="e">
        <f>'结果表-车位'!D125</f>
        <v>#VALUE!</v>
      </c>
      <c r="E11" s="3276"/>
      <c r="F11" s="3276"/>
      <c r="G11" s="3276"/>
      <c r="H11" s="3276"/>
      <c r="I11" s="3276"/>
    </row>
    <row r="12" spans="1:9" ht="15.75">
      <c r="A12" s="3274" t="str">
        <f>'结果表-车位'!A126</f>
        <v/>
      </c>
      <c r="B12" s="3274"/>
      <c r="C12" s="3274"/>
      <c r="D12" s="3274" t="str">
        <f>'结果表-车位'!D126</f>
        <v>——</v>
      </c>
      <c r="E12" s="3274"/>
      <c r="F12" s="3274"/>
      <c r="G12" s="3274"/>
      <c r="H12" s="3274"/>
      <c r="I12" s="3274"/>
    </row>
    <row r="13" spans="1:9" ht="15.75" thickBot="1">
      <c r="A13" s="3271" t="s">
        <v>1545</v>
      </c>
      <c r="B13" s="3271"/>
      <c r="C13" s="3271"/>
      <c r="D13" s="3272" t="e">
        <f>'结果表-车位'!D127</f>
        <v>#VALUE!</v>
      </c>
      <c r="E13" s="3272"/>
      <c r="F13" s="3272"/>
      <c r="G13" s="3272"/>
      <c r="H13" s="3272"/>
      <c r="I13" s="3272"/>
    </row>
    <row r="14" spans="1:9" ht="15" thickTop="1">
      <c r="A14" s="3273" t="s">
        <v>1550</v>
      </c>
      <c r="B14" s="3273"/>
      <c r="C14" s="3273"/>
      <c r="D14" s="3273"/>
      <c r="E14" s="3273"/>
      <c r="F14" s="3273"/>
      <c r="G14" s="3273"/>
      <c r="H14" s="3273"/>
      <c r="I14" s="3273"/>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44617</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2998</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K26"/>
  <sheetViews>
    <sheetView view="pageBreakPreview" zoomScale="80" zoomScaleNormal="80" zoomScaleSheetLayoutView="80" workbookViewId="0">
      <selection activeCell="H7" sqref="H7"/>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11780.21</v>
      </c>
      <c r="C1" s="2884"/>
      <c r="D1" s="2884"/>
      <c r="E1" s="2884"/>
      <c r="F1" s="2884"/>
      <c r="G1" s="2885"/>
      <c r="H1" s="2886"/>
      <c r="I1" s="2886"/>
      <c r="J1" s="2886"/>
      <c r="K1" s="2886"/>
    </row>
    <row r="2" spans="1:11" ht="16.5">
      <c r="A2" s="2707" t="s">
        <v>1259</v>
      </c>
      <c r="B2" s="2707">
        <f>SUM(C14:C23)</f>
        <v>6103.74</v>
      </c>
      <c r="C2" s="2884"/>
      <c r="D2" s="2884"/>
      <c r="E2" s="2884"/>
      <c r="F2" s="2884"/>
      <c r="G2" s="2885"/>
      <c r="H2" s="2886"/>
      <c r="I2" s="2886"/>
      <c r="J2" s="2886"/>
      <c r="K2" s="2886"/>
    </row>
    <row r="3" spans="1:11" ht="16.5">
      <c r="A3" s="2707" t="s">
        <v>1268</v>
      </c>
      <c r="B3" s="2709">
        <f>项目基本情况!D3</f>
        <v>44617</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7212</v>
      </c>
      <c r="C5" s="2707">
        <f ca="1">ROUND(B5*10000/$B$1,0)</f>
        <v>6122</v>
      </c>
      <c r="D5" s="2707">
        <f ca="1">ROUND(B5*10000/$B$2,0)</f>
        <v>11816</v>
      </c>
      <c r="E5" s="2884"/>
      <c r="F5" s="2885"/>
      <c r="G5" s="2885"/>
      <c r="H5" s="2886"/>
      <c r="I5" s="2886"/>
      <c r="J5" s="2886"/>
      <c r="K5" s="2886"/>
    </row>
    <row r="6" spans="1:11" ht="16.5">
      <c r="A6" s="2707" t="s">
        <v>1262</v>
      </c>
      <c r="B6" s="2707" t="e">
        <f ca="1">SUM(G14:G23)</f>
        <v>#REF!</v>
      </c>
      <c r="C6" s="2707" t="e">
        <f ca="1">ROUND(B6*10000/$B$1,0)</f>
        <v>#REF!</v>
      </c>
      <c r="D6" s="2707" t="e">
        <f ca="1">ROUND(B6*10000/$B$2,0)</f>
        <v>#REF!</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'结果表-车位'!B118</f>
        <v>11780.21</v>
      </c>
      <c r="C14" s="2713">
        <f>'结果表-车位'!C118</f>
        <v>6103.74</v>
      </c>
      <c r="D14" s="2713">
        <f ca="1">结果汇总!H2</f>
        <v>7212</v>
      </c>
      <c r="E14" s="2713">
        <f ca="1">ROUND(D14*10000/B14,0)</f>
        <v>6122</v>
      </c>
      <c r="F14" s="2713">
        <f ca="1">ROUND(D14*10000/C14,0)</f>
        <v>11816</v>
      </c>
      <c r="G14" s="2713" t="e">
        <f ca="1">'结果表-车位'!D122</f>
        <v>#REF!</v>
      </c>
      <c r="H14" s="2713" t="str">
        <f>'结果表-车位'!D124</f>
        <v>——</v>
      </c>
      <c r="I14" s="2713" t="str">
        <f>'结果表-车位'!D126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8" t="s">
        <v>1567</v>
      </c>
      <c r="B1" s="3288"/>
      <c r="C1" s="3288"/>
      <c r="D1" s="3288"/>
    </row>
    <row r="2" spans="1:4" ht="18">
      <c r="A2" s="3289" t="s">
        <v>1551</v>
      </c>
      <c r="B2" s="3289"/>
      <c r="C2" s="3289"/>
      <c r="D2" s="3289"/>
    </row>
    <row r="3" spans="1:4" ht="18.75">
      <c r="A3" s="1663" t="s">
        <v>1552</v>
      </c>
      <c r="B3" s="1663" t="s">
        <v>1553</v>
      </c>
      <c r="C3" s="1663" t="s">
        <v>1554</v>
      </c>
      <c r="D3" s="1663" t="s">
        <v>1555</v>
      </c>
    </row>
    <row r="4" spans="1:4" ht="56.25" customHeight="1">
      <c r="A4" s="1664" t="str">
        <f>项目基本情况!B4</f>
        <v>陈颖</v>
      </c>
      <c r="B4" s="1665">
        <f ca="1">项目基本情况!C4</f>
        <v>0</v>
      </c>
      <c r="C4" s="1666"/>
      <c r="D4" s="1667" t="s">
        <v>1556</v>
      </c>
    </row>
    <row r="5" spans="1:4" ht="56.25" customHeight="1">
      <c r="A5" s="1664" t="str">
        <f>项目基本情况!D4</f>
        <v>叶凌</v>
      </c>
      <c r="B5" s="1665">
        <f ca="1">项目基本情况!E4</f>
        <v>1119970111</v>
      </c>
      <c r="C5" s="1668"/>
      <c r="D5" s="1667" t="s">
        <v>1556</v>
      </c>
    </row>
    <row r="6" spans="1:4" ht="18">
      <c r="A6" s="3289" t="s">
        <v>1557</v>
      </c>
      <c r="B6" s="3289"/>
      <c r="C6" s="3289"/>
      <c r="D6" s="3289"/>
    </row>
    <row r="7" spans="1:4" ht="18.75">
      <c r="A7" s="1663" t="s">
        <v>1552</v>
      </c>
      <c r="B7" s="1665" t="s">
        <v>1558</v>
      </c>
      <c r="C7" s="1663" t="s">
        <v>1554</v>
      </c>
      <c r="D7" s="1663" t="s">
        <v>1555</v>
      </c>
    </row>
    <row r="8" spans="1:4" ht="56.25" customHeight="1">
      <c r="A8" s="1669" t="s">
        <v>837</v>
      </c>
      <c r="B8" s="1669" t="s">
        <v>1</v>
      </c>
      <c r="C8" s="1666"/>
      <c r="D8" s="1667" t="s">
        <v>1556</v>
      </c>
    </row>
    <row r="9" spans="1:4">
      <c r="A9" s="683"/>
      <c r="B9" s="683"/>
      <c r="C9" s="683"/>
      <c r="D9" s="683"/>
    </row>
    <row r="10" spans="1:4" ht="18.75">
      <c r="A10" s="1670" t="s">
        <v>1559</v>
      </c>
      <c r="B10" s="683"/>
      <c r="C10" s="683"/>
      <c r="D10" s="683"/>
    </row>
    <row r="11" spans="1:4" ht="30" customHeight="1">
      <c r="A11" s="3290" t="s">
        <v>1560</v>
      </c>
      <c r="B11" s="3282"/>
      <c r="C11" s="3282"/>
      <c r="D11" s="3282"/>
    </row>
    <row r="12" spans="1:4" ht="15.75">
      <c r="A12" s="32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87"/>
      <c r="C12" s="3287"/>
      <c r="D12" s="3287"/>
    </row>
    <row r="13" spans="1:4" ht="30" customHeight="1">
      <c r="A13" s="3282" t="str">
        <f>IF(项目基本情况!B8="抵押","3.抵押双方在办理抵押登记手续时，应使用本公司出具的正式《房地产评估报告》，特提醒报告使用者注意。","——")</f>
        <v>——</v>
      </c>
      <c r="B13" s="3287"/>
      <c r="C13" s="3287"/>
      <c r="D13" s="3287"/>
    </row>
    <row r="14" spans="1:4" ht="15.75" customHeight="1">
      <c r="A14" s="3282" t="str">
        <f>IF(项目基本情况!B8="抵押","4.本次评估估价师所知悉的法定优先受偿款情况说明如下：","——")</f>
        <v>——</v>
      </c>
      <c r="B14" s="3287"/>
      <c r="C14" s="3287"/>
      <c r="D14" s="3287"/>
    </row>
    <row r="15" spans="1:4" ht="42" customHeight="1">
      <c r="A15" s="3282" t="str">
        <f>IF(项目基本情况!B8="抵押","（1）"&amp;CONCATENATE(项目基本情况!L20,项目基本情况!L21,项目基本情况!L22),"——")</f>
        <v>——</v>
      </c>
      <c r="B15" s="3282"/>
      <c r="C15" s="3282"/>
      <c r="D15" s="3282"/>
    </row>
    <row r="16" spans="1:4" ht="30" customHeight="1">
      <c r="A16" s="3284" t="s">
        <v>1561</v>
      </c>
      <c r="B16" s="3284"/>
      <c r="C16" s="3284"/>
      <c r="D16" s="3284"/>
    </row>
    <row r="17" spans="1:4" ht="144" customHeight="1">
      <c r="A17" s="3284" t="s">
        <v>1562</v>
      </c>
      <c r="B17" s="3284"/>
      <c r="C17" s="3284"/>
      <c r="D17" s="3284"/>
    </row>
    <row r="18" spans="1:4" ht="15.75" customHeight="1">
      <c r="A18" s="3282" t="str">
        <f>IF(项目基本情况!B8="抵押",'结果表-车位'!K120,"——")</f>
        <v>——</v>
      </c>
      <c r="B18" s="3282"/>
      <c r="C18" s="3282"/>
      <c r="D18" s="3282"/>
    </row>
    <row r="19" spans="1:4" ht="46.5" customHeight="1">
      <c r="A19" s="32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82"/>
      <c r="C19" s="3282"/>
      <c r="D19" s="3282"/>
    </row>
    <row r="20" spans="1:4" ht="57.75" customHeight="1">
      <c r="A20" s="3282" t="str">
        <f>IF('结果表-车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82"/>
      <c r="C20" s="3282"/>
      <c r="D20" s="3282"/>
    </row>
    <row r="21" spans="1:4" ht="57.75" customHeight="1">
      <c r="A21" s="3285" t="str">
        <f>IF('结果表-车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85"/>
      <c r="C21" s="3285"/>
      <c r="D21" s="3285"/>
    </row>
    <row r="22" spans="1:4" ht="18.75" customHeight="1">
      <c r="A22" s="3286" t="s">
        <v>1563</v>
      </c>
      <c r="B22" s="3286"/>
      <c r="C22" s="3286"/>
      <c r="D22" s="3286"/>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83">
        <v>42551</v>
      </c>
      <c r="D31" s="32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6" t="s">
        <v>1574</v>
      </c>
      <c r="B15" s="3291" t="s">
        <v>136</v>
      </c>
      <c r="C15" s="3292"/>
    </row>
    <row r="16" spans="1:7" ht="13.5">
      <c r="A16" s="3297"/>
      <c r="B16" s="3291" t="s">
        <v>69</v>
      </c>
      <c r="C16" s="3292"/>
    </row>
    <row r="17" spans="1:3" ht="13.5">
      <c r="A17" s="3297"/>
      <c r="B17" s="3294" t="s">
        <v>1575</v>
      </c>
      <c r="C17" s="1686" t="s">
        <v>1574</v>
      </c>
    </row>
    <row r="18" spans="1:3" ht="13.5">
      <c r="A18" s="3297"/>
      <c r="B18" s="3294"/>
      <c r="C18" s="1686" t="s">
        <v>1576</v>
      </c>
    </row>
    <row r="19" spans="1:3" ht="13.5">
      <c r="A19" s="3297"/>
      <c r="B19" s="3294"/>
      <c r="C19" s="1686" t="s">
        <v>1577</v>
      </c>
    </row>
    <row r="20" spans="1:3" ht="13.5">
      <c r="A20" s="3298"/>
      <c r="B20" s="3293" t="s">
        <v>1578</v>
      </c>
      <c r="C20" s="3292"/>
    </row>
    <row r="21" spans="1:3" ht="13.5">
      <c r="A21" s="1687" t="s">
        <v>1579</v>
      </c>
      <c r="B21" s="1688"/>
      <c r="C21" s="1689"/>
    </row>
    <row r="22" spans="1:3" ht="13.5">
      <c r="A22" s="3295" t="s">
        <v>1580</v>
      </c>
      <c r="B22" s="3293" t="s">
        <v>1581</v>
      </c>
      <c r="C22" s="3292"/>
    </row>
    <row r="23" spans="1:3" ht="13.5">
      <c r="A23" s="3295"/>
      <c r="B23" s="3293" t="s">
        <v>1582</v>
      </c>
      <c r="C23" s="3292"/>
    </row>
    <row r="24" spans="1:3" ht="13.5">
      <c r="A24" s="3295"/>
      <c r="B24" s="3293" t="s">
        <v>1583</v>
      </c>
      <c r="C24" s="3292"/>
    </row>
    <row r="25" spans="1:3" ht="13.5">
      <c r="A25" s="3295"/>
      <c r="B25" s="3294" t="s">
        <v>1584</v>
      </c>
      <c r="C25" s="1686" t="s">
        <v>1585</v>
      </c>
    </row>
    <row r="26" spans="1:3" ht="13.5">
      <c r="A26" s="3295"/>
      <c r="B26" s="3294"/>
      <c r="C26" s="1686" t="s">
        <v>1586</v>
      </c>
    </row>
    <row r="27" spans="1:3" ht="13.5">
      <c r="A27" s="3295"/>
      <c r="B27" s="3294"/>
      <c r="C27" s="1686" t="s">
        <v>1587</v>
      </c>
    </row>
    <row r="28" spans="1:3" ht="13.5">
      <c r="A28" s="3295"/>
      <c r="B28" s="3294"/>
      <c r="C28" s="1686" t="s">
        <v>1588</v>
      </c>
    </row>
    <row r="29" spans="1:3" ht="13.5">
      <c r="A29" s="3295"/>
      <c r="B29" s="3294"/>
      <c r="C29" s="1686" t="s">
        <v>1589</v>
      </c>
    </row>
    <row r="30" spans="1:3" ht="13.5">
      <c r="A30" s="3295"/>
      <c r="B30" s="3294"/>
      <c r="C30" s="1686" t="s">
        <v>1590</v>
      </c>
    </row>
    <row r="31" spans="1:3" ht="13.5">
      <c r="A31" s="3295"/>
      <c r="B31" s="3294"/>
      <c r="C31" s="1686" t="s">
        <v>1591</v>
      </c>
    </row>
    <row r="32" spans="1:3" ht="13.5">
      <c r="A32" s="3295"/>
      <c r="B32" s="3294"/>
      <c r="C32" s="1686" t="s">
        <v>1592</v>
      </c>
    </row>
    <row r="33" spans="1:3" ht="13.5">
      <c r="A33" s="3295"/>
      <c r="B33" s="3294"/>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2819</v>
      </c>
      <c r="B2" s="2531">
        <f ca="1">TODAY()</f>
        <v>44642</v>
      </c>
      <c r="C2" s="2532" t="s">
        <v>2820</v>
      </c>
      <c r="D2" s="2532"/>
      <c r="E2" s="2532"/>
      <c r="F2" s="2528"/>
      <c r="G2" s="2528"/>
      <c r="H2" s="2528"/>
    </row>
    <row r="3" spans="1:8" ht="24" customHeight="1">
      <c r="A3" s="2533" t="s">
        <v>2821</v>
      </c>
      <c r="B3" s="2534" t="s">
        <v>2822</v>
      </c>
      <c r="C3" s="2534" t="s">
        <v>2823</v>
      </c>
      <c r="D3" s="2535" t="s">
        <v>2824</v>
      </c>
      <c r="E3" s="2536" t="s">
        <v>2825</v>
      </c>
      <c r="F3" s="1443" t="s">
        <v>2826</v>
      </c>
      <c r="G3" s="2534" t="s">
        <v>2823</v>
      </c>
      <c r="H3" s="2535" t="s">
        <v>2827</v>
      </c>
    </row>
    <row r="4" spans="1:8" ht="24" customHeight="1">
      <c r="A4" s="1443" t="s">
        <v>2828</v>
      </c>
      <c r="B4" s="1443">
        <f ca="1">IF(C4&lt;B2,"已过期",1119970066)</f>
        <v>1119970066</v>
      </c>
      <c r="C4" s="2537">
        <v>44876</v>
      </c>
      <c r="D4" s="2538" t="str">
        <f ca="1">A4&amp;"（注册号："&amp;B4&amp;"）"</f>
        <v>梁津（注册号：1119970066）</v>
      </c>
      <c r="E4" s="2539" t="s">
        <v>2828</v>
      </c>
      <c r="F4" s="1443">
        <f ca="1">IF(G4&lt;B2,"已过期",96010014)</f>
        <v>96010014</v>
      </c>
      <c r="G4" s="2540">
        <v>47118</v>
      </c>
      <c r="H4" s="2541" t="str">
        <f ca="1">E4&amp;"（注册号："&amp;F4&amp;"）"</f>
        <v>梁津（注册号：96010014）</v>
      </c>
    </row>
    <row r="5" spans="1:8" ht="24" customHeight="1">
      <c r="A5" s="1443" t="s">
        <v>2829</v>
      </c>
      <c r="B5" s="1443">
        <f ca="1">IF(C5&lt;B2,"已过期",1119970111)</f>
        <v>1119970111</v>
      </c>
      <c r="C5" s="2537">
        <v>44876</v>
      </c>
      <c r="D5" s="2538" t="str">
        <f t="shared" ref="D5:D15" ca="1" si="0">A5&amp;"（注册号："&amp;B5&amp;"）"</f>
        <v>叶凌（注册号：1119970111）</v>
      </c>
      <c r="E5" s="2539" t="s">
        <v>2829</v>
      </c>
      <c r="F5" s="1443">
        <f ca="1">IF(G5&lt;B2,"已过期",94010078)</f>
        <v>94010078</v>
      </c>
      <c r="G5" s="2540">
        <v>46387</v>
      </c>
      <c r="H5" s="2541" t="str">
        <f t="shared" ref="H5:H16" ca="1" si="1">E5&amp;"（注册号："&amp;F5&amp;"）"</f>
        <v>叶凌（注册号：94010078）</v>
      </c>
    </row>
    <row r="6" spans="1:8" ht="24" customHeight="1">
      <c r="A6" s="1443" t="s">
        <v>2830</v>
      </c>
      <c r="B6" s="1443" t="str">
        <f ca="1">IF(C6&lt;B2,"已过期",1120050019)</f>
        <v>已过期</v>
      </c>
      <c r="C6" s="2537">
        <v>44395</v>
      </c>
      <c r="D6" s="2538" t="str">
        <f t="shared" ca="1" si="0"/>
        <v>王鹏（注册号：已过期）</v>
      </c>
      <c r="E6" s="2539" t="s">
        <v>2830</v>
      </c>
      <c r="F6" s="1443">
        <f ca="1">IF(G6&lt;B2,"已过期",2002110030)</f>
        <v>2002110030</v>
      </c>
      <c r="G6" s="2540">
        <v>46387</v>
      </c>
      <c r="H6" s="2541" t="str">
        <f t="shared" ca="1" si="1"/>
        <v>王鹏（注册号：2002110030）</v>
      </c>
    </row>
    <row r="7" spans="1:8" ht="24" customHeight="1">
      <c r="A7" s="1443" t="s">
        <v>2831</v>
      </c>
      <c r="B7" s="1443">
        <f ca="1">IF(C7&lt;B2,"已过期",1120000080)</f>
        <v>1120000080</v>
      </c>
      <c r="C7" s="2537">
        <v>44876</v>
      </c>
      <c r="D7" s="2538" t="str">
        <f t="shared" ca="1" si="0"/>
        <v>欧红伟（注册号：1120000080）</v>
      </c>
      <c r="E7" s="2539" t="s">
        <v>2831</v>
      </c>
      <c r="F7" s="1443">
        <f ca="1">IF(G7&lt;B2,"已过期",2000110082)</f>
        <v>2000110082</v>
      </c>
      <c r="G7" s="2540">
        <v>46387</v>
      </c>
      <c r="H7" s="2541" t="str">
        <f t="shared" ca="1" si="1"/>
        <v>欧红伟（注册号：2000110082）</v>
      </c>
    </row>
    <row r="8" spans="1:8" ht="24" customHeight="1">
      <c r="A8" s="1443" t="s">
        <v>2832</v>
      </c>
      <c r="B8" s="1443">
        <f ca="1">IF(C8&lt;B2,"已过期",1419970001)</f>
        <v>1419970001</v>
      </c>
      <c r="C8" s="2537">
        <v>44899</v>
      </c>
      <c r="D8" s="2538" t="str">
        <f t="shared" ca="1" si="0"/>
        <v>吴薇（注册号：1419970001）</v>
      </c>
      <c r="E8" s="2539" t="s">
        <v>2832</v>
      </c>
      <c r="F8" s="1443">
        <f ca="1">IF(G8&lt;B2,"已过期",2002110125)</f>
        <v>2002110125</v>
      </c>
      <c r="G8" s="2540">
        <v>47118</v>
      </c>
      <c r="H8" s="2541" t="str">
        <f t="shared" ca="1" si="1"/>
        <v>吴薇（注册号：2002110125）</v>
      </c>
    </row>
    <row r="9" spans="1:8" ht="24" customHeight="1">
      <c r="A9" s="1443" t="s">
        <v>2833</v>
      </c>
      <c r="B9" s="1443" t="str">
        <f ca="1">IF(C9&lt;B2,"已过期",1120060040)</f>
        <v>已过期</v>
      </c>
      <c r="C9" s="2542">
        <v>44554</v>
      </c>
      <c r="D9" s="2538" t="str">
        <f t="shared" ca="1" si="0"/>
        <v>陈颖（注册号：已过期）</v>
      </c>
      <c r="E9" s="2539" t="s">
        <v>2833</v>
      </c>
      <c r="F9" s="1443">
        <f ca="1">IF(G9&lt;B2,"已过期",2004110096)</f>
        <v>2004110096</v>
      </c>
      <c r="G9" s="2540">
        <v>47118</v>
      </c>
      <c r="H9" s="2541" t="str">
        <f t="shared" ca="1" si="1"/>
        <v>陈颖（注册号：2004110096）</v>
      </c>
    </row>
    <row r="10" spans="1:8" ht="24" customHeight="1">
      <c r="A10" s="1443" t="s">
        <v>2834</v>
      </c>
      <c r="B10" s="1443">
        <f ca="1">IF(C10&lt;B2,"已过期",1120100036)</f>
        <v>1120100036</v>
      </c>
      <c r="C10" s="2542">
        <v>44675</v>
      </c>
      <c r="D10" s="2538" t="str">
        <f t="shared" ca="1" si="0"/>
        <v>崔锴（注册号：1120100036）</v>
      </c>
      <c r="E10" s="2539" t="s">
        <v>2834</v>
      </c>
      <c r="F10" s="1443">
        <f ca="1">IF(G10&lt;B2,"已过期",2010110070)</f>
        <v>2010110070</v>
      </c>
      <c r="G10" s="2540">
        <v>47907</v>
      </c>
      <c r="H10" s="2541" t="str">
        <f t="shared" ca="1" si="1"/>
        <v>崔锴（注册号：2010110070）</v>
      </c>
    </row>
    <row r="11" spans="1:8" ht="24" customHeight="1">
      <c r="A11" s="1443" t="s">
        <v>2835</v>
      </c>
      <c r="B11" s="1443">
        <f ca="1">IF(C11&lt;B2,"已过期",1120070131)</f>
        <v>1120070131</v>
      </c>
      <c r="C11" s="2537">
        <v>44849</v>
      </c>
      <c r="D11" s="2538" t="str">
        <f t="shared" ca="1" si="0"/>
        <v>郑燚（注册号：1120070131）</v>
      </c>
      <c r="E11" s="2539" t="s">
        <v>2835</v>
      </c>
      <c r="F11" s="1443">
        <f ca="1">IF(G11&lt;B2,"已过期",2014110011)</f>
        <v>2014110011</v>
      </c>
      <c r="G11" s="2540">
        <v>49302</v>
      </c>
      <c r="H11" s="2541" t="str">
        <f t="shared" ca="1" si="1"/>
        <v>郑燚（注册号：2014110011）</v>
      </c>
    </row>
    <row r="12" spans="1:8" ht="24" customHeight="1">
      <c r="A12" s="1443" t="s">
        <v>2836</v>
      </c>
      <c r="B12" s="1443">
        <f ca="1">IF(C12&lt;B2,"已过期",1120040230)</f>
        <v>1120040230</v>
      </c>
      <c r="C12" s="2542">
        <v>44864</v>
      </c>
      <c r="D12" s="2538" t="str">
        <f t="shared" ca="1" si="0"/>
        <v>苏海（注册号：1120040230）</v>
      </c>
      <c r="E12" s="2539" t="s">
        <v>2836</v>
      </c>
      <c r="F12" s="1443">
        <f ca="1">IF(G12&lt;B2,"已过期",98030020)</f>
        <v>98030020</v>
      </c>
      <c r="G12" s="2540">
        <v>47118</v>
      </c>
      <c r="H12" s="2541" t="str">
        <f t="shared" ca="1" si="1"/>
        <v>苏海（注册号：98030020）</v>
      </c>
    </row>
    <row r="13" spans="1:8" ht="24" customHeight="1">
      <c r="A13" s="1443" t="s">
        <v>2837</v>
      </c>
      <c r="B13" s="1443" t="str">
        <f ca="1">IF(C13&lt;B2,"已过期",1120020033)</f>
        <v>已过期</v>
      </c>
      <c r="C13" s="2537">
        <v>44339</v>
      </c>
      <c r="D13" s="2538" t="str">
        <f t="shared" ca="1" si="0"/>
        <v>刘敬东（注册号：已过期）</v>
      </c>
      <c r="E13" s="2539" t="s">
        <v>2837</v>
      </c>
      <c r="F13" s="1443">
        <f ca="1">IF(G13&lt;B2,"已过期",2000110137)</f>
        <v>2000110137</v>
      </c>
      <c r="G13" s="2540">
        <v>46387</v>
      </c>
      <c r="H13" s="2541" t="str">
        <f t="shared" ca="1" si="1"/>
        <v>刘敬东（注册号：2000110137）</v>
      </c>
    </row>
    <row r="14" spans="1:8" ht="24" customHeight="1">
      <c r="A14" s="1443" t="s">
        <v>2838</v>
      </c>
      <c r="B14" s="1443">
        <f ca="1">IF(C14&lt;B2,"已过期",1119980106)</f>
        <v>1119980106</v>
      </c>
      <c r="C14" s="2542">
        <v>44969</v>
      </c>
      <c r="D14" s="2538" t="str">
        <f t="shared" ca="1" si="0"/>
        <v>刘俊财（注册号：1119980106）</v>
      </c>
      <c r="E14" s="2539" t="s">
        <v>2838</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2839</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299" t="s">
        <v>2840</v>
      </c>
      <c r="B17" s="3299"/>
      <c r="C17" s="3299"/>
      <c r="D17" s="3299"/>
      <c r="E17" s="3299"/>
      <c r="F17" s="3299"/>
      <c r="G17" s="3299"/>
      <c r="H17" s="3299"/>
    </row>
    <row r="18" spans="1:8" ht="24" customHeight="1">
      <c r="A18" s="3300" t="s">
        <v>2841</v>
      </c>
      <c r="B18" s="3300"/>
      <c r="C18" s="3300"/>
      <c r="D18" s="2535"/>
      <c r="E18" s="3301" t="s">
        <v>2842</v>
      </c>
      <c r="F18" s="3300"/>
      <c r="G18" s="3300"/>
    </row>
    <row r="19" spans="1:8" s="2546" customFormat="1" ht="24" customHeight="1">
      <c r="A19" s="2545" t="s">
        <v>2843</v>
      </c>
      <c r="B19" s="2534" t="s">
        <v>2844</v>
      </c>
      <c r="C19" s="2534" t="s">
        <v>2823</v>
      </c>
      <c r="D19" s="2535"/>
      <c r="E19" s="2539" t="s">
        <v>2843</v>
      </c>
      <c r="F19" s="2534" t="s">
        <v>2844</v>
      </c>
      <c r="G19" s="2534" t="s">
        <v>2823</v>
      </c>
    </row>
    <row r="20" spans="1:8" s="2546" customFormat="1" ht="24" customHeight="1">
      <c r="A20" s="2547" t="s">
        <v>2845</v>
      </c>
      <c r="B20" s="2547" t="s">
        <v>2846</v>
      </c>
      <c r="C20" s="2540">
        <v>44820</v>
      </c>
      <c r="D20" s="2548"/>
      <c r="E20" s="2549" t="s">
        <v>2847</v>
      </c>
      <c r="F20" s="2547" t="s">
        <v>2848</v>
      </c>
      <c r="G20" s="2550">
        <v>44377</v>
      </c>
    </row>
    <row r="21" spans="1:8" s="2546" customFormat="1" ht="24" customHeight="1">
      <c r="A21" s="2547"/>
      <c r="B21" s="2547"/>
      <c r="C21" s="2551"/>
      <c r="D21" s="2552"/>
      <c r="E21" s="2549" t="s">
        <v>2849</v>
      </c>
      <c r="F21" s="2553" t="s">
        <v>2850</v>
      </c>
      <c r="G21" s="2554">
        <v>44012</v>
      </c>
    </row>
    <row r="22" spans="1:8" ht="24" customHeight="1">
      <c r="C22" s="2555"/>
      <c r="D22" s="2555"/>
      <c r="E22" s="2556"/>
      <c r="F22" s="2557"/>
      <c r="G22" s="2558"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面积表</vt:lpstr>
      <vt:lpstr>结果汇总</vt:lpstr>
      <vt:lpstr>比较法-车位</vt:lpstr>
      <vt:lpstr>结果表-车位</vt:lpstr>
      <vt:lpstr>车位成交案例</vt:lpstr>
      <vt:lpstr>收益法-车位</vt:lpstr>
      <vt:lpstr>车位租金案例</vt:lpstr>
      <vt:lpstr>比较法-仓储</vt:lpstr>
      <vt:lpstr>成本法-车位</vt:lpstr>
      <vt:lpstr>结果表-仓储</vt:lpstr>
      <vt:lpstr>收益法-仓储</vt:lpstr>
      <vt:lpstr>仓储租金案例</vt:lpstr>
      <vt:lpstr>成本法-仓储</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系统读取表</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'成本法-仓储'!Print_Area</vt:lpstr>
      <vt:lpstr>'成本法-车位'!Print_Area</vt:lpstr>
      <vt:lpstr>估价对象房地状况!Print_Area</vt:lpstr>
      <vt:lpstr>估价师及机构信息!Print_Area</vt:lpstr>
      <vt:lpstr>'基准地价（汇总）'!Print_Area</vt:lpstr>
      <vt:lpstr>基准地价修正!Print_Area</vt:lpstr>
      <vt:lpstr>假设开发法!Print_Area</vt:lpstr>
      <vt:lpstr>'结果表-仓储'!Print_Area</vt:lpstr>
      <vt:lpstr>'结果表-车位'!Print_Area</vt:lpstr>
      <vt:lpstr>'收益法 (元)'!Print_Area</vt:lpstr>
      <vt:lpstr>'收益法（汇总）'!Print_Area</vt:lpstr>
      <vt:lpstr>'收益法-仓储'!Print_Area</vt:lpstr>
      <vt:lpstr>'收益法-车位'!Print_Area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2022-03-22T02:22:02Z</dcterms:modified>
</cp:coreProperties>
</file>