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2" i="43" l="1"/>
  <c r="U11" i="43"/>
  <c r="U10" i="43"/>
  <c r="U9" i="43"/>
  <c r="U8" i="43"/>
  <c r="U7" i="43"/>
  <c r="U6" i="43"/>
  <c r="U5" i="43"/>
  <c r="U4" i="43"/>
  <c r="U3" i="43"/>
  <c r="U2" i="43"/>
  <c r="D33" i="43"/>
  <c r="G52" i="43"/>
  <c r="G53" i="43"/>
  <c r="G54" i="43"/>
  <c r="G55" i="43"/>
  <c r="G56" i="43"/>
  <c r="G57" i="43"/>
  <c r="G58" i="43"/>
  <c r="G59" i="43"/>
  <c r="G51" i="43"/>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C27"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s="1"/>
  <c r="M56" i="43"/>
  <c r="N56" i="43" s="1"/>
  <c r="K56" i="43"/>
  <c r="J56" i="43" s="1"/>
  <c r="D56" i="43" s="1"/>
  <c r="M55" i="43"/>
  <c r="N55" i="43" s="1"/>
  <c r="K55" i="43"/>
  <c r="J55" i="43" s="1"/>
  <c r="D55" i="43"/>
  <c r="M54" i="43"/>
  <c r="N54" i="43" s="1"/>
  <c r="K54" i="43"/>
  <c r="J54" i="43" s="1"/>
  <c r="M53" i="43"/>
  <c r="N53" i="43" s="1"/>
  <c r="K53" i="43"/>
  <c r="J53" i="43" s="1"/>
  <c r="D53" i="43"/>
  <c r="M52" i="43"/>
  <c r="N52" i="43" s="1"/>
  <c r="K52" i="43"/>
  <c r="J52" i="43" s="1"/>
  <c r="D52" i="43" s="1"/>
  <c r="M51" i="43"/>
  <c r="N51" i="43" s="1"/>
  <c r="K51" i="43"/>
  <c r="J51" i="43" s="1"/>
  <c r="D51" i="43" s="1"/>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D34" i="9"/>
  <c r="F7" i="15"/>
  <c r="M9" i="67"/>
  <c r="F7" i="73"/>
  <c r="B7" i="76"/>
  <c r="F26" i="15"/>
  <c r="E10" i="76"/>
  <c r="M29" i="67"/>
  <c r="D3" i="73"/>
  <c r="L48" i="67"/>
  <c r="F42" i="67"/>
  <c r="B12" i="76"/>
  <c r="F41" i="67"/>
  <c r="D35" i="9"/>
  <c r="M26" i="67"/>
  <c r="F16" i="67"/>
  <c r="AO8" i="1"/>
  <c r="F36" i="15"/>
  <c r="D2" i="35"/>
  <c r="F8" i="67"/>
  <c r="M28" i="67"/>
  <c r="L47" i="15"/>
  <c r="D2" i="21"/>
  <c r="C76" i="67"/>
  <c r="M22" i="67"/>
  <c r="E2" i="69"/>
  <c r="M6" i="67"/>
  <c r="F13" i="15"/>
  <c r="AO12" i="1"/>
  <c r="B11" i="76"/>
  <c r="F13" i="67"/>
  <c r="F42" i="15"/>
  <c r="F40" i="67"/>
  <c r="F4" i="73"/>
  <c r="M23" i="67"/>
  <c r="E13" i="76"/>
  <c r="E12" i="76"/>
  <c r="B13" i="76"/>
  <c r="F38" i="15"/>
  <c r="D20" i="9"/>
  <c r="F8" i="15"/>
  <c r="F20" i="31"/>
  <c r="M23" i="15"/>
  <c r="F37" i="15"/>
  <c r="J15" i="15"/>
  <c r="E8" i="76"/>
  <c r="AO10" i="1"/>
  <c r="M28" i="15"/>
  <c r="F40" i="15"/>
  <c r="D2" i="37"/>
  <c r="AO7" i="1"/>
  <c r="D2" i="34"/>
  <c r="M27" i="67"/>
  <c r="F26" i="67"/>
  <c r="M24" i="67"/>
  <c r="M26" i="15"/>
  <c r="M24" i="15"/>
  <c r="F9" i="67"/>
  <c r="F36" i="67"/>
  <c r="C20" i="9"/>
  <c r="AO6" i="1"/>
  <c r="D6" i="73"/>
  <c r="E2" i="68"/>
  <c r="D4" i="73"/>
  <c r="F6" i="73"/>
  <c r="F43" i="15"/>
  <c r="D2" i="33"/>
  <c r="D19" i="9"/>
  <c r="F37" i="67"/>
  <c r="F9" i="15"/>
  <c r="AO9" i="1"/>
  <c r="E9" i="76"/>
  <c r="B10" i="76"/>
  <c r="C19" i="9"/>
  <c r="J15" i="67"/>
  <c r="F6" i="15"/>
  <c r="L47" i="67"/>
  <c r="B8" i="76"/>
  <c r="D2" i="36"/>
  <c r="E7" i="76"/>
  <c r="M8" i="15"/>
  <c r="C76" i="15"/>
  <c r="E11" i="76"/>
  <c r="AO11" i="1"/>
  <c r="B9" i="76"/>
  <c r="M22" i="15"/>
  <c r="F5" i="73"/>
  <c r="F6" i="67"/>
  <c r="M27" i="15"/>
  <c r="F16" i="15"/>
  <c r="F7" i="67"/>
  <c r="D7" i="73"/>
  <c r="F38" i="67"/>
  <c r="M8" i="67"/>
  <c r="M6" i="15"/>
  <c r="D5" i="73"/>
  <c r="M29" i="15"/>
  <c r="F43" i="67"/>
  <c r="AO13" i="1"/>
  <c r="F41" i="15"/>
  <c r="F3" i="73"/>
  <c r="M9" i="15"/>
  <c r="L48" i="15"/>
  <c r="E51" i="43" l="1"/>
  <c r="B49" i="43" s="1"/>
  <c r="C28" i="43" s="1"/>
  <c r="D54" i="43"/>
  <c r="D26" i="43"/>
  <c r="C25" i="43" s="1"/>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G1" i="73"/>
  <c r="C16" i="67"/>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19" i="15"/>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B6" i="76"/>
  <c r="E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F35" i="15"/>
  <c r="F35" i="67"/>
  <c r="M21"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56" i="15"/>
  <c r="Q47" i="15"/>
  <c r="Q53" i="15" s="1"/>
  <c r="C46" i="15"/>
  <c r="B2" i="15"/>
  <c r="B3" i="15" s="1"/>
  <c r="Q65" i="15"/>
  <c r="C83" i="15"/>
  <c r="C82" i="15" s="1"/>
  <c r="C43" i="15"/>
  <c r="Q57" i="15"/>
  <c r="C52" i="68"/>
  <c r="B2" i="68" s="1"/>
  <c r="B3" i="68" s="1"/>
  <c r="Q75" i="67"/>
  <c r="B3" i="67"/>
  <c r="B2" i="67"/>
  <c r="C52" i="69"/>
  <c r="B2" i="69" s="1"/>
  <c r="B3" i="69" s="1"/>
  <c r="F7" i="37"/>
  <c r="AA7" i="37" s="1"/>
  <c r="R42" i="37" s="1"/>
  <c r="N63" i="40"/>
  <c r="M65" i="40"/>
  <c r="M70" i="39"/>
  <c r="N68" i="39"/>
  <c r="J7" i="37"/>
  <c r="H7" i="37"/>
  <c r="C14" i="71"/>
  <c r="D15" i="71"/>
  <c r="Q75" i="15" l="1"/>
  <c r="Q62" i="15"/>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8" i="52"/>
  <c r="C104" i="9"/>
  <c r="H4" i="52"/>
  <c r="D52" i="9"/>
  <c r="D53" i="9"/>
  <c r="C105" i="9"/>
  <c r="I4" i="52"/>
  <c r="E14" i="74"/>
  <c r="F14" i="74"/>
  <c r="N60" i="9"/>
  <c r="N61" i="9"/>
  <c r="D6" i="74"/>
  <c r="C6" i="74"/>
  <c r="C5" i="74"/>
  <c r="D14" i="74"/>
  <c r="B5" i="74"/>
  <c r="D5" i="74"/>
  <c r="N58" i="9"/>
  <c r="N59" i="9"/>
  <c r="P57" i="9"/>
  <c r="B53" i="72"/>
  <c r="C81" i="9"/>
  <c r="B21" i="72"/>
  <c r="G14" i="74"/>
  <c r="B6" i="74"/>
  <c r="B51" i="72"/>
  <c r="E81" i="9"/>
  <c r="H102" i="9"/>
  <c r="D7" i="53"/>
  <c r="B22" i="72"/>
  <c r="B47" i="72"/>
  <c r="B31" i="72"/>
  <c r="H119" i="9"/>
  <c r="H5" i="52"/>
  <c r="C78" i="9"/>
  <c r="C73" i="9"/>
  <c r="B48" i="72"/>
  <c r="M48" i="9"/>
  <c r="B30" i="72"/>
  <c r="M54" i="9"/>
  <c r="B52" i="72"/>
  <c r="F4" i="52"/>
  <c r="D4" i="52"/>
  <c r="D59" i="9"/>
  <c r="M55" i="9"/>
  <c r="C93" i="9"/>
  <c r="C86" i="9"/>
  <c r="C72" i="9"/>
  <c r="C79" i="9"/>
  <c r="C80" i="9"/>
  <c r="E80" i="9"/>
  <c r="D13" i="53"/>
  <c r="D14" i="53"/>
  <c r="B32" i="72"/>
  <c r="D122" i="9"/>
  <c r="D123" i="9"/>
  <c r="D9" i="52"/>
  <c r="C67" i="9"/>
  <c r="C68" i="9"/>
  <c r="D54" i="9"/>
  <c r="F119" i="9"/>
  <c r="F5" i="52"/>
  <c r="E96" i="9"/>
  <c r="E97" i="9"/>
  <c r="B49" i="72"/>
  <c r="H107" i="9"/>
  <c r="H108" i="9"/>
  <c r="D15" i="53"/>
  <c r="E4" i="52"/>
  <c r="C96" i="9"/>
  <c r="C85" i="9"/>
  <c r="C95" i="9"/>
  <c r="C97" i="9"/>
  <c r="D58" i="9"/>
  <c r="D56" i="9"/>
  <c r="G4" i="52"/>
  <c r="G118" i="9"/>
  <c r="F118" i="9"/>
  <c r="B20" i="72"/>
  <c r="D5" i="53"/>
  <c r="D6" i="53"/>
  <c r="E118" i="9"/>
  <c r="D118" i="9"/>
  <c r="D119" i="9"/>
  <c r="D5" i="52"/>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<sst xmlns="http://schemas.openxmlformats.org/spreadsheetml/2006/main" count="7725" uniqueCount="3110">
  <si>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</si>
  <si>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</si>
  <si>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</si>
  <si>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</si>
  <si>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</si>
  <si>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</si>
  <si>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</si>
  <si>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</si>
  <si>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</si>
  <si>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</si>
  <si>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</si>
  <si>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</si>
  <si>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</si>
  <si>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</si>
  <si>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</si>
  <si>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</si>
  <si>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</si>
  <si>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</si>
  <si>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</si>
  <si>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</si>
  <si>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</si>
  <si>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</si>
  <si>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</si>
  <si>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</si>
  <si>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</si>
  <si>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</si>
  <si>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</si>
  <si>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</si>
  <si>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</si>
  <si>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</si>
  <si>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</si>
  <si>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</si>
  <si>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</si>
  <si>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</si>
  <si>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</si>
  <si>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</si>
  <si>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</si>
  <si>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</si>
  <si>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</si>
  <si>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</si>
  <si>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</si>
  <si>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</si>
  <si>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</si>
  <si>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</si>
  <si>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</si>
  <si>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</si>
  <si>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</si>
  <si>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</si>
  <si>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</si>
  <si>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</si>
  <si>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</si>
  <si>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</si>
  <si>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</si>
  <si>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</si>
  <si>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</si>
  <si>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</si>
  <si>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</si>
  <si>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</si>
  <si>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</si>
  <si>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</si>
  <si>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</si>
  <si>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</si>
  <si>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</si>
  <si>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</si>
  <si>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</si>
  <si>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</si>
  <si>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</si>
  <si>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</si>
  <si>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</si>
  <si>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</si>
  <si>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</si>
  <si>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</si>
  <si>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</si>
  <si>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</si>
  <si>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</si>
  <si>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</si>
  <si>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</si>
  <si>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</si>
  <si>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</si>
  <si>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</si>
  <si>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</si>
  <si>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</si>
  <si>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</si>
  <si>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</si>
  <si>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</si>
  <si>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</si>
  <si>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</si>
  <si>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</si>
  <si>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</si>
  <si>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</si>
  <si>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</si>
  <si>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</si>
  <si>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</si>
  <si>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</si>
  <si>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</si>
  <si>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</si>
  <si>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</si>
  <si>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</si>
  <si>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</si>
  <si>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</si>
  <si>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</si>
  <si>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</si>
  <si>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</si>
  <si>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</si>
  <si>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</si>
  <si>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</si>
  <si>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</si>
  <si>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</si>
  <si>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</si>
  <si>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</si>
  <si>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</si>
  <si>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</si>
  <si>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</si>
  <si>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</si>
  <si>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</si>
  <si>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</si>
  <si>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</si>
  <si>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</si>
  <si>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</si>
  <si>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</si>
  <si>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</si>
  <si>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</si>
  <si>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</si>
  <si>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</si>
  <si>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</si>
  <si>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</si>
  <si>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</si>
  <si>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</si>
  <si>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</si>
  <si>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</si>
  <si>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</si>
  <si>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</si>
  <si>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</si>
  <si>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</si>
  <si>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</si>
  <si>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</si>
  <si>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</si>
  <si>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</si>
  <si>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</si>
  <si>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</si>
  <si>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</si>
  <si>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</si>
  <si>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</si>
  <si>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</si>
  <si>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</si>
  <si>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</si>
  <si>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</si>
  <si>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</si>
  <si>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</si>
  <si>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</si>
  <si>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</si>
  <si>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</si>
  <si>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</si>
  <si>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</si>
  <si>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</si>
  <si>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</si>
  <si>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</si>
  <si>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</si>
  <si>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</si>
  <si>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</si>
  <si>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</si>
  <si>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</si>
  <si>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</si>
  <si>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</si>
  <si>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</si>
  <si>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</si>
  <si>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</si>
  <si>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</si>
  <si>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</si>
  <si>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</si>
  <si>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</si>
  <si>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</si>
  <si>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</si>
  <si>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</si>
  <si>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</si>
  <si>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</si>
  <si>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</si>
  <si>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</si>
  <si>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</si>
  <si>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</si>
  <si>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</si>
  <si>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</si>
  <si>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</si>
  <si>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</si>
  <si>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</si>
  <si>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</si>
  <si>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</si>
  <si>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</si>
  <si>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</si>
  <si>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</si>
  <si>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</si>
  <si>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</si>
  <si>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</si>
  <si>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</si>
  <si>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</si>
  <si>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</si>
  <si>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</si>
  <si>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</si>
  <si>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</si>
  <si>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</si>
  <si>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</si>
  <si>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</si>
  <si>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</si>
  <si>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</si>
  <si>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</si>
  <si>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</si>
  <si>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</si>
  <si>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</si>
  <si>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</si>
  <si>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</si>
  <si>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</si>
  <si>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</si>
  <si>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</si>
  <si>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</si>
  <si>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</si>
  <si>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</si>
  <si>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</si>
  <si>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</si>
  <si>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</si>
  <si>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</si>
  <si>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</si>
  <si>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</si>
  <si>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</si>
  <si>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</si>
  <si>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</si>
  <si>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</si>
  <si>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</si>
  <si>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</si>
  <si>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</si>
  <si>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</si>
  <si>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</si>
  <si>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</si>
  <si>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</si>
  <si>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</si>
  <si>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</si>
  <si>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</si>
  <si>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</si>
  <si>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</si>
  <si>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</si>
  <si>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</si>
  <si>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</si>
  <si>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</si>
  <si>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</si>
  <si>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</si>
  <si>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</si>
  <si>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</si>
  <si>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</si>
  <si>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</si>
  <si>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</si>
  <si>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</si>
  <si>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</si>
  <si>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</si>
  <si>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</si>
  <si>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</si>
  <si>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</si>
  <si>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</si>
  <si>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</si>
  <si>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</si>
  <si>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</si>
  <si>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</si>
  <si>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</si>
  <si>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</si>
  <si>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</si>
  <si>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</si>
  <si>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</si>
  <si>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</si>
  <si>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</si>
  <si>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</si>
  <si>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</si>
  <si>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</si>
  <si>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</si>
  <si>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</si>
  <si>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</si>
  <si>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</si>
  <si>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</si>
  <si>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</si>
  <si>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</si>
  <si>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</si>
  <si>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</si>
  <si>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</si>
  <si>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</si>
  <si>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</si>
  <si>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</si>
  <si>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</si>
  <si>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</si>
  <si>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</si>
  <si>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</si>
  <si>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</si>
  <si>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</si>
  <si>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</si>
  <si>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</si>
  <si>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</si>
  <si>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</si>
  <si>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</si>
  <si>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</si>
  <si>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</si>
  <si>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</si>
  <si>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</si>
  <si>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</si>
  <si>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</si>
  <si>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</si>
  <si>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</si>
  <si>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</si>
  <si>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</si>
  <si>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</si>
  <si>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</si>
  <si>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</si>
  <si>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</si>
  <si>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</si>
  <si>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</si>
  <si>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</si>
  <si>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</si>
  <si>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</si>
  <si>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</si>
  <si>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</si>
  <si>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</si>
  <si>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</si>
  <si>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</si>
  <si>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</si>
  <si>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</si>
  <si>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</si>
  <si>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</si>
  <si>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</si>
  <si>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</si>
  <si>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</si>
  <si>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</si>
  <si>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</si>
  <si>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</si>
  <si>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</si>
  <si>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</si>
  <si>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</si>
  <si>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</si>
  <si>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</si>
  <si>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</si>
  <si>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</si>
  <si>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</si>
  <si>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</si>
  <si>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</si>
  <si>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</si>
  <si>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</si>
  <si>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</si>
  <si>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</si>
  <si>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</si>
  <si>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</si>
  <si>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</si>
  <si>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</si>
  <si>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</si>
  <si>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</si>
  <si>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</si>
  <si>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</si>
  <si>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</si>
  <si>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</si>
  <si>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</si>
  <si>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</si>
  <si>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</si>
  <si>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</si>
  <si>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</si>
  <si>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</si>
  <si>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</si>
  <si>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</si>
  <si>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</si>
  <si>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</si>
  <si>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</si>
  <si>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</si>
  <si>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</si>
  <si>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</si>
  <si>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</si>
  <si>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</si>
  <si>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</si>
  <si>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</si>
  <si>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</si>
  <si>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</si>
  <si>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</si>
  <si>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</si>
  <si>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</si>
  <si>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</si>
  <si>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</si>
  <si>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</si>
  <si>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</si>
  <si>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</si>
  <si>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</si>
  <si>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</si>
  <si>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</si>
  <si>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</si>
  <si>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</si>
  <si>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</si>
  <si>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</si>
  <si>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</si>
  <si>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</si>
  <si>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</si>
  <si>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</si>
  <si>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</si>
  <si>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</si>
  <si>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</si>
  <si>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</si>
  <si>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</si>
  <si>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</si>
  <si>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</si>
  <si>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</si>
  <si>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</si>
  <si>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</si>
  <si>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</si>
  <si>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</si>
  <si>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</si>
  <si>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</si>
  <si>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</si>
  <si>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</si>
  <si>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</si>
  <si>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</si>
  <si>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</si>
  <si>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</si>
  <si>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</si>
  <si>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</si>
  <si>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</si>
  <si>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</si>
  <si>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</si>
  <si>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</si>
  <si>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</si>
  <si>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</si>
  <si>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</si>
  <si>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</si>
  <si>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</si>
  <si>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</si>
  <si>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</si>
  <si>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</si>
  <si>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</si>
  <si>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</si>
  <si>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</si>
  <si>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</si>
  <si>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</si>
  <si>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</si>
  <si>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</si>
  <si>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</si>
  <si>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</si>
  <si>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</si>
  <si>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</si>
  <si>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</si>
  <si>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</si>
  <si>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</si>
  <si>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</si>
  <si>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</si>
  <si>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</si>
  <si>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</si>
  <si>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</si>
  <si>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</si>
  <si>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</si>
  <si>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</si>
  <si>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</si>
  <si>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</si>
  <si>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</si>
  <si>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</si>
  <si>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</si>
  <si>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</si>
  <si>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</si>
  <si>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</si>
  <si>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</si>
  <si>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</si>
  <si>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</si>
  <si>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</si>
  <si>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</si>
  <si>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</si>
  <si>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</si>
  <si>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</si>
  <si>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</si>
  <si>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</si>
  <si>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</si>
  <si>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</si>
  <si>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</si>
  <si>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</si>
  <si>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</si>
  <si>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</si>
  <si>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</si>
  <si>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</si>
  <si>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</si>
  <si>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</si>
  <si>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</si>
  <si>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</si>
  <si>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</si>
  <si>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</si>
  <si>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</si>
  <si>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</si>
  <si>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</si>
  <si>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</si>
  <si>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</si>
  <si>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</si>
  <si>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</si>
  <si>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</si>
  <si>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</si>
  <si>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</si>
  <si>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</si>
  <si>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</si>
  <si>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</si>
  <si>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</si>
  <si>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</si>
  <si>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</si>
  <si>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</si>
  <si>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</si>
  <si>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</si>
  <si>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</si>
  <si>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</si>
  <si>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</si>
  <si>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</si>
  <si>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</si>
  <si>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</si>
  <si>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</si>
  <si>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</si>
  <si>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</si>
  <si>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</si>
  <si>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</si>
  <si>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</si>
  <si>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</si>
  <si>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</si>
  <si>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</si>
  <si>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</si>
  <si>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</si>
  <si>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</si>
  <si>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</si>
  <si>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</si>
  <si>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</si>
  <si>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</si>
  <si>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</si>
  <si>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</si>
  <si>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</si>
  <si>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</si>
  <si>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</si>
  <si>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</si>
  <si>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</si>
  <si>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</si>
  <si>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</si>
  <si>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</si>
  <si>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</si>
  <si>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</si>
  <si>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</si>
  <si>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</si>
  <si>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</si>
  <si>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</si>
  <si>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</si>
  <si>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</si>
  <si>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</si>
  <si>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</si>
  <si>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</si>
  <si>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</si>
  <si>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</si>
  <si>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</si>
  <si>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</si>
  <si>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</si>
  <si>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</si>
  <si>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</si>
  <si>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</si>
  <si>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</si>
  <si>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</si>
  <si>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</si>
  <si>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</si>
  <si>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</si>
  <si>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</si>
  <si>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</si>
  <si>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</si>
  <si>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</si>
  <si>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</si>
  <si>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</si>
  <si>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</si>
  <si>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</si>
  <si>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</si>
  <si>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</si>
  <si>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</si>
  <si>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</si>
  <si>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</si>
  <si>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</si>
  <si>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</si>
  <si>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</si>
  <si>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</si>
  <si>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</si>
  <si>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</si>
  <si>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</si>
  <si>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</si>
  <si>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</si>
  <si>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</si>
  <si>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</si>
  <si>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</si>
  <si>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</si>
  <si>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</si>
  <si>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</si>
  <si>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</si>
  <si>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</si>
  <si>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</si>
  <si>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</si>
  <si>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</si>
  <si>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</si>
  <si>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</si>
  <si>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</si>
  <si>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</si>
  <si>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</si>
  <si>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</si>
  <si>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</si>
  <si>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</si>
  <si>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</si>
  <si>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</si>
  <si>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</si>
  <si>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</si>
  <si>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</si>
  <si>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</si>
  <si>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</si>
  <si>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</si>
  <si>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</si>
  <si>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</si>
  <si>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</si>
  <si>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</si>
  <si>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</si>
  <si>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</si>
  <si>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</si>
  <si>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</si>
  <si>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</si>
  <si>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</si>
  <si>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</si>
  <si>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</si>
  <si>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</si>
  <si>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</si>
  <si>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</si>
  <si>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</si>
  <si>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</si>
  <si>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</si>
  <si>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</si>
  <si>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</si>
  <si>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</si>
  <si>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</si>
  <si>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</si>
  <si>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</si>
  <si>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</si>
  <si>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</si>
  <si>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</si>
  <si>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</si>
  <si>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</si>
  <si>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</si>
  <si>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</si>
  <si>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</si>
  <si>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</si>
  <si>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</si>
  <si>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</si>
  <si>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</si>
  <si>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</si>
  <si>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</si>
  <si>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</si>
  <si>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</si>
  <si>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</si>
  <si>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</si>
  <si>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</si>
  <si>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</si>
  <si>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</si>
  <si>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</si>
  <si>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</si>
  <si>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</si>
  <si>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</si>
  <si>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</si>
  <si>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</si>
  <si>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</si>
  <si>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</si>
  <si>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</si>
  <si>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</si>
  <si>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</si>
  <si>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</si>
  <si>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</si>
  <si>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</si>
  <si>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</si>
  <si>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</si>
  <si>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</si>
  <si>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</si>
  <si>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</si>
  <si>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</si>
  <si>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</si>
  <si>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</si>
  <si>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</si>
  <si>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</si>
  <si>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</si>
  <si>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</si>
  <si>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</si>
  <si>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</si>
  <si>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</si>
  <si>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</si>
  <si>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</si>
  <si>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</si>
  <si>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</si>
  <si>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</si>
  <si>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</si>
  <si>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</si>
  <si>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</si>
  <si>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</si>
  <si>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</si>
  <si>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</si>
  <si>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</si>
  <si>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</si>
  <si>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</si>
  <si>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</si>
  <si>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</si>
  <si>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</si>
  <si>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</si>
  <si>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</si>
  <si>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</si>
  <si>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</si>
  <si>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</si>
  <si>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</si>
  <si>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</si>
  <si>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</si>
  <si>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</si>
  <si>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</si>
  <si>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</si>
  <si>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</si>
  <si>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</si>
  <si>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</si>
  <si>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</si>
  <si>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</si>
  <si>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</si>
  <si>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</si>
  <si>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</si>
  <si>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</si>
  <si>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</si>
  <si>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</si>
  <si>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</si>
  <si>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</si>
  <si>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</si>
  <si>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</si>
  <si>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</si>
  <si>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</si>
  <si>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</si>
  <si>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</si>
  <si>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</si>
  <si>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</si>
  <si>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</si>
  <si>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</si>
  <si>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</si>
  <si>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</si>
  <si>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</si>
  <si>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</si>
  <si>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</si>
  <si>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</si>
  <si>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</si>
  <si>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</si>
  <si>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</si>
  <si>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</si>
  <si>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</si>
  <si>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</si>
  <si>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</si>
  <si>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</si>
  <si>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</si>
  <si>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</si>
  <si>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</si>
  <si>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</si>
  <si>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</si>
  <si>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</si>
  <si>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</si>
  <si>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</si>
  <si>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</si>
  <si>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</si>
  <si>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</si>
  <si>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</si>
  <si>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</si>
  <si>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</si>
  <si>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</si>
  <si>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</si>
  <si>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</si>
  <si>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</si>
  <si>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</si>
  <si>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</si>
  <si>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</si>
  <si>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</si>
  <si>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</si>
  <si>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</si>
  <si>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</si>
  <si>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</si>
  <si>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</si>
  <si>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</si>
  <si>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</si>
  <si>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</si>
  <si>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</si>
  <si>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</si>
  <si>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</si>
  <si>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</si>
  <si>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</si>
  <si>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</si>
  <si>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</si>
  <si>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</si>
  <si>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</si>
  <si>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</si>
  <si>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</si>
  <si>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</si>
  <si>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</si>
  <si>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</si>
  <si>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</si>
  <si>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</si>
  <si>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</si>
  <si>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</si>
  <si>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</si>
  <si>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</si>
  <si>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</si>
  <si>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</si>
  <si>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</si>
  <si>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</si>
  <si>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</si>
  <si>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</si>
  <si>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</si>
  <si>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</si>
  <si>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</si>
  <si>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</si>
  <si>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</si>
  <si>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</si>
  <si>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</si>
  <si>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</si>
  <si>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</si>
  <si>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</si>
  <si>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</si>
  <si>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</si>
  <si>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</si>
  <si>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</si>
  <si>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</si>
  <si>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</si>
  <si>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</si>
  <si>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</si>
  <si>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</si>
  <si>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</si>
  <si>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</si>
  <si>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</si>
  <si>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</si>
  <si>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</si>
  <si>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</si>
  <si>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</si>
  <si>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</si>
  <si>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</si>
  <si>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</si>
  <si>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</si>
  <si>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</si>
  <si>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</si>
  <si>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</si>
  <si>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</si>
  <si>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</si>
  <si>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</si>
  <si>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</si>
  <si>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</si>
  <si>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</si>
  <si>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</si>
  <si>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</si>
  <si>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</si>
  <si>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</si>
  <si>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</si>
  <si>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</si>
  <si>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</si>
  <si>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</si>
  <si>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</si>
  <si>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</si>
  <si>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</si>
  <si>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</si>
  <si>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</si>
  <si>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</si>
  <si>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</si>
  <si>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</si>
  <si>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</si>
  <si>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</si>
  <si>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</si>
  <si>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</si>
  <si>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</si>
  <si>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</si>
  <si>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</si>
  <si>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</si>
  <si>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</si>
  <si>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</si>
  <si>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</si>
  <si>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</si>
  <si>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</si>
  <si>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</si>
  <si>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</si>
  <si>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</si>
  <si>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</si>
  <si>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</si>
  <si>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</si>
  <si>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</si>
  <si>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</si>
  <si>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</si>
  <si>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</si>
  <si>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</si>
  <si>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</si>
  <si>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</si>
  <si>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</si>
  <si>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</si>
  <si>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</si>
  <si>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</si>
  <si>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</si>
  <si>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</si>
  <si>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</si>
  <si>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</si>
  <si>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</si>
  <si>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</si>
  <si>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</si>
  <si>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</si>
  <si>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</si>
  <si>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</si>
  <si>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</si>
  <si>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</si>
  <si>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</si>
  <si>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</si>
  <si>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</si>
  <si>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</si>
  <si>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</si>
  <si>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</si>
  <si>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</si>
  <si>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</si>
  <si>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</si>
  <si>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</si>
  <si>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</si>
  <si>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</si>
  <si>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</si>
  <si>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</si>
  <si>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</si>
  <si>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</si>
  <si>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</si>
  <si>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</si>
  <si>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</si>
  <si>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</si>
  <si>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</si>
  <si>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</si>
  <si>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</si>
  <si>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</si>
  <si>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</si>
  <si>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</si>
  <si>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</si>
  <si>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</si>
  <si>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</si>
  <si>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</si>
  <si>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</si>
  <si>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</si>
  <si>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</si>
  <si>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</si>
  <si>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</si>
  <si>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</si>
  <si>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</si>
  <si>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</si>
  <si>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</si>
  <si>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</si>
  <si>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</si>
  <si>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</si>
  <si>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</si>
  <si>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</si>
  <si>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</si>
  <si>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</si>
  <si>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</si>
  <si>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</si>
  <si>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</si>
  <si>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</si>
  <si>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</si>
  <si>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</si>
  <si>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</si>
  <si>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</si>
  <si>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</si>
  <si>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</si>
  <si>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</si>
  <si>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</si>
  <si>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</si>
  <si>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</si>
  <si>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</si>
  <si>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</si>
  <si>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</si>
  <si>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</si>
  <si>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</si>
  <si>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</si>
  <si>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</si>
  <si>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</si>
  <si>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</si>
  <si>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</si>
  <si>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</si>
  <si>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</si>
  <si>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</si>
  <si>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</si>
  <si>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</si>
  <si>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</si>
  <si>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</si>
  <si>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</si>
  <si>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</si>
  <si>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</si>
  <si>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</si>
  <si>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</si>
  <si>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</si>
  <si>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</si>
  <si>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</si>
  <si>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</si>
  <si>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</si>
  <si>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</si>
  <si>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</si>
  <si>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</si>
  <si>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</si>
  <si>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</si>
  <si>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</si>
  <si>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</si>
  <si>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</si>
  <si>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</si>
  <si>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</si>
  <si>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</si>
  <si>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</si>
  <si>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</si>
  <si>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</si>
  <si>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</si>
  <si>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</si>
  <si>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</si>
  <si>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</si>
  <si>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</si>
  <si>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</si>
  <si>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</si>
  <si>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</si>
  <si>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</si>
  <si>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</si>
  <si>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</si>
  <si>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</si>
  <si>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</si>
  <si>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</si>
  <si>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</si>
  <si>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</si>
  <si>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</si>
  <si>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</si>
  <si>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</si>
  <si>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</si>
  <si>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</si>
  <si>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</si>
  <si>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</si>
  <si>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</si>
  <si>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</si>
  <si>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</si>
  <si>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</si>
  <si>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</si>
  <si>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</si>
  <si>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</si>
  <si>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</si>
  <si>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</si>
  <si>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</si>
  <si>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</si>
  <si>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</si>
  <si>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</si>
  <si>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</si>
  <si>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</si>
  <si>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</si>
  <si>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</si>
  <si>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</si>
  <si>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</si>
  <si>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</si>
  <si>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</si>
  <si>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</si>
  <si>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</si>
  <si>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</si>
  <si>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</si>
  <si>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</si>
  <si>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</si>
  <si>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</si>
  <si>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</si>
  <si>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</si>
  <si>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</si>
  <si>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</si>
  <si>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</si>
  <si>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</si>
  <si>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</si>
  <si>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</si>
  <si>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</si>
  <si>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</si>
  <si>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</si>
  <si>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</si>
  <si>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</si>
  <si>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</si>
  <si>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</si>
  <si>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</si>
  <si>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</si>
  <si>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</si>
  <si>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</si>
  <si>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</si>
  <si>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</si>
  <si>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</si>
  <si>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</si>
  <si>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</si>
  <si>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</si>
  <si>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</si>
  <si>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</si>
  <si>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</si>
  <si>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</si>
  <si>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</si>
  <si>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</si>
  <si>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</si>
  <si>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</si>
  <si>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</si>
  <si>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</si>
  <si>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</si>
  <si>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</si>
  <si>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</si>
  <si>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</si>
  <si>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</si>
  <si>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</si>
  <si>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</si>
  <si>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</si>
  <si>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</si>
  <si>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</si>
  <si>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</si>
  <si>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</si>
  <si>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</si>
  <si>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</si>
  <si>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</si>
  <si>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</si>
  <si>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</si>
  <si>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</si>
  <si>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</si>
  <si>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</si>
  <si>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</si>
  <si>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</si>
  <si>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</si>
  <si>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</si>
  <si>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</si>
  <si>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</si>
  <si>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</si>
  <si>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</si>
  <si>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</si>
  <si>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</si>
  <si>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</si>
  <si>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</si>
  <si>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</si>
  <si>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</si>
  <si>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</si>
  <si>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</si>
  <si>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</si>
  <si>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</si>
  <si>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</si>
  <si>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</si>
  <si>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</si>
  <si>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</si>
  <si>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</si>
  <si>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</si>
  <si>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</si>
  <si>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</si>
  <si>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</si>
  <si>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</si>
  <si>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</si>
  <si>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</si>
  <si>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</si>
  <si>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</si>
  <si>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</si>
  <si>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</si>
  <si>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</si>
  <si>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</si>
  <si>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</si>
  <si>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</si>
  <si>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</si>
  <si>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</si>
  <si>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</si>
  <si>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</si>
  <si>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</si>
  <si>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</si>
  <si>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</si>
  <si>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</si>
  <si>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</si>
  <si>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</si>
  <si>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</si>
  <si>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</si>
  <si>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</si>
  <si>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</si>
  <si>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</si>
  <si>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</si>
  <si>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</si>
  <si>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</si>
  <si>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</si>
  <si>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</si>
  <si>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</si>
  <si>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</si>
  <si>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</si>
  <si>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</si>
  <si>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</si>
  <si>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</si>
  <si>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</si>
  <si>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</si>
  <si>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</si>
  <si>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</si>
  <si>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</si>
  <si>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</si>
  <si>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</si>
  <si>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</si>
  <si>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</si>
  <si>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</si>
  <si>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</si>
  <si>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</si>
  <si>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</si>
  <si>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</si>
  <si>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</si>
  <si>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</si>
  <si>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</si>
  <si>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</si>
  <si>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</si>
  <si>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</si>
  <si>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</si>
  <si>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</si>
  <si>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</si>
  <si>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</si>
  <si>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</si>
  <si>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</si>
  <si>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</si>
  <si>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</si>
  <si>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</si>
  <si>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</si>
  <si>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</si>
  <si>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</si>
  <si>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</si>
  <si>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</si>
  <si>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</si>
  <si>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</si>
  <si>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</si>
  <si>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</si>
  <si>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</si>
  <si>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</si>
  <si>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</si>
  <si>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</si>
  <si>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</si>
  <si>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</si>
  <si>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</si>
  <si>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</si>
  <si>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</si>
  <si>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</si>
  <si>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</si>
  <si>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</si>
  <si>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</si>
  <si>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</si>
  <si>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</si>
  <si>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</si>
  <si>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</si>
  <si>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</si>
  <si>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</si>
  <si>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</si>
  <si>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</si>
  <si>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</si>
  <si>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</si>
  <si>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</si>
  <si>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</si>
  <si>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</si>
  <si>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</si>
  <si>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</si>
  <si>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</si>
  <si>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</si>
  <si>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</si>
  <si>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</si>
  <si>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</si>
  <si>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</si>
  <si>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</si>
  <si>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</si>
  <si>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</si>
  <si>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</si>
  <si>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</si>
  <si>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</si>
  <si>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</si>
  <si>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</si>
  <si>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</si>
  <si>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</si>
  <si>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</si>
  <si>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</si>
  <si>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</si>
  <si>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</si>
  <si>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</si>
  <si>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</si>
  <si>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</si>
  <si>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</si>
  <si>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</si>
  <si>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</si>
  <si>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</si>
  <si>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</si>
  <si>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</si>
  <si>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</si>
  <si>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</si>
  <si>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</si>
  <si>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</si>
  <si>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</si>
  <si>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</si>
  <si>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</si>
  <si>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</si>
  <si>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</si>
  <si>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</si>
  <si>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</si>
  <si>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</si>
  <si>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</si>
  <si>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</si>
  <si>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</si>
  <si>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</si>
  <si>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</si>
  <si>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</si>
  <si>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</si>
  <si>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</si>
  <si>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</si>
  <si>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</si>
  <si>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</si>
  <si>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</si>
  <si>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</si>
  <si>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</si>
  <si>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</si>
  <si>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</si>
  <si>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</si>
  <si>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</si>
  <si>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</si>
  <si>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</si>
  <si>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</si>
  <si>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</si>
  <si>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</si>
  <si>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</si>
  <si>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</si>
  <si>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</si>
  <si>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</si>
  <si>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</si>
  <si>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</si>
  <si>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</si>
  <si>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</si>
  <si>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</si>
  <si>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</si>
  <si>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</si>
  <si>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</si>
  <si>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</si>
  <si>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</si>
  <si>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</si>
  <si>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</si>
  <si>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</si>
  <si>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</si>
  <si>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</si>
  <si>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</si>
  <si>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</si>
  <si>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</si>
  <si>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</si>
  <si>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</si>
  <si>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</si>
  <si>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</si>
  <si>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</si>
  <si>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</si>
  <si>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</si>
  <si>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</si>
  <si>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</si>
  <si>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</si>
  <si>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</si>
  <si>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</si>
  <si>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</si>
  <si>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</si>
  <si>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</si>
  <si>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</si>
  <si>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</si>
  <si>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</si>
  <si>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</si>
  <si>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</si>
  <si>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</si>
  <si>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</si>
  <si>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</si>
  <si>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</si>
  <si>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</si>
  <si>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</si>
  <si>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</si>
  <si>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</si>
  <si>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</si>
  <si>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</si>
  <si>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</si>
  <si>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</si>
  <si>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</si>
  <si>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</si>
  <si>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</si>
  <si>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</si>
  <si>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</si>
  <si>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</si>
  <si>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</si>
  <si>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</si>
  <si>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</si>
  <si>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</si>
  <si>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</si>
  <si>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</si>
  <si>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</si>
  <si>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</si>
  <si>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</si>
  <si>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</si>
  <si>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</si>
  <si>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</si>
  <si>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</si>
  <si>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</si>
  <si>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</si>
  <si>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</si>
  <si>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</si>
  <si>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</si>
  <si>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</si>
  <si>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</si>
  <si>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</si>
  <si>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</si>
  <si>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</si>
  <si>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</si>
  <si>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</si>
  <si>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</si>
  <si>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</si>
  <si>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</si>
  <si>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</si>
  <si>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</si>
  <si>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</si>
  <si>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</si>
  <si>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</si>
  <si>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</si>
  <si>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</si>
  <si>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</si>
  <si>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</si>
  <si>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</si>
  <si>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</si>
  <si>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</si>
  <si>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</si>
  <si>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</si>
  <si>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</si>
  <si>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</si>
  <si>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</si>
  <si>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</si>
  <si>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</si>
  <si>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</si>
  <si>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</si>
  <si>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</si>
  <si>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</si>
  <si>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</si>
  <si>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</si>
  <si>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</si>
  <si>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</si>
  <si>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</si>
  <si>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</si>
  <si>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</si>
  <si>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</si>
  <si>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</si>
  <si>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</si>
  <si>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</si>
  <si>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</si>
  <si>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</si>
  <si>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</si>
  <si>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</si>
  <si>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</si>
  <si>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</si>
  <si>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</si>
  <si>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</si>
  <si>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</si>
  <si>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</si>
  <si>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</si>
  <si>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</si>
  <si>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</si>
  <si>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</si>
  <si>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</si>
  <si>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</si>
  <si>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</si>
  <si>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</si>
  <si>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</si>
  <si>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</si>
  <si>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</si>
  <si>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</si>
  <si>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</si>
  <si>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</si>
  <si>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</si>
  <si>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</si>
  <si>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</si>
  <si>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</si>
  <si>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</si>
  <si>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</si>
  <si>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</si>
  <si>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</si>
  <si>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</si>
  <si>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</si>
  <si>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</si>
  <si>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</si>
  <si>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</si>
  <si>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</si>
  <si>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</si>
  <si>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</si>
  <si>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</si>
  <si>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</si>
  <si>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</si>
  <si>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</si>
  <si>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</si>
  <si>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</si>
  <si>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</si>
  <si>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</si>
  <si>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</si>
  <si>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</si>
  <si>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</si>
  <si>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</si>
  <si>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</si>
  <si>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</si>
  <si>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</si>
  <si>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</si>
  <si>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</si>
  <si>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</si>
  <si>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</si>
  <si>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</si>
  <si>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</si>
  <si>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</si>
  <si>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</si>
  <si>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</si>
  <si>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</si>
  <si>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</si>
  <si>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</si>
  <si>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</si>
  <si>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</si>
  <si>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</si>
  <si>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</si>
  <si>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</si>
  <si>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</si>
  <si>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</si>
  <si>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</si>
  <si>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</si>
  <si>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</si>
  <si>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</si>
  <si>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</si>
  <si>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</si>
  <si>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</si>
  <si>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</si>
  <si>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</si>
  <si>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</si>
  <si>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</si>
  <si>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</si>
  <si>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</si>
  <si>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</si>
  <si>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</si>
  <si>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</si>
  <si>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</si>
  <si>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</si>
  <si>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</si>
  <si>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</si>
  <si>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</si>
  <si>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</si>
  <si>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</si>
  <si>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</si>
  <si>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</si>
  <si>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</si>
  <si>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</si>
  <si>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</si>
  <si>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</si>
  <si>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</si>
  <si>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</si>
  <si>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</si>
  <si>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</si>
  <si>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</si>
  <si>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</si>
  <si>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</si>
  <si>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</si>
  <si>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</si>
  <si>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</si>
  <si>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</si>
  <si>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</si>
  <si>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</si>
  <si>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</si>
  <si>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</si>
  <si>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</si>
  <si>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</si>
  <si>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</si>
  <si>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</si>
  <si>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</si>
  <si>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</si>
  <si>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</si>
  <si>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</si>
  <si>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</si>
  <si>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</si>
  <si>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</si>
  <si>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</si>
  <si>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</si>
  <si>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</si>
  <si>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</si>
  <si>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</si>
  <si>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</si>
  <si>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</si>
  <si>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</si>
  <si>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</si>
  <si>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</si>
  <si>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</si>
  <si>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</si>
  <si>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</si>
  <si>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</si>
  <si>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</si>
  <si>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</si>
  <si>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</si>
  <si>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</si>
  <si>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</si>
  <si>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</si>
  <si>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</si>
  <si>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</si>
  <si>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</si>
  <si>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</si>
  <si>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</si>
  <si>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</si>
  <si>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</si>
  <si>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</si>
  <si>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</si>
  <si>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</si>
  <si>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</si>
  <si>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</si>
  <si>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</si>
  <si>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</si>
  <si>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</si>
  <si>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</si>
  <si>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</si>
  <si>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</si>
  <si>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</si>
  <si>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</si>
  <si>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</si>
  <si>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</si>
  <si>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</si>
  <si>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</si>
  <si>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</si>
  <si>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</si>
  <si>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</si>
  <si>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</si>
  <si>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</si>
  <si>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</si>
  <si>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</si>
  <si>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</si>
  <si>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</si>
  <si>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</si>
  <si>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</si>
  <si>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</si>
  <si>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</si>
  <si>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</si>
  <si>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</si>
  <si>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</si>
  <si>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</si>
  <si>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</si>
  <si>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</si>
  <si>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</si>
  <si>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</si>
  <si>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</si>
  <si>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</si>
  <si>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</si>
  <si>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</si>
  <si>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</si>
  <si>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</si>
  <si>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</si>
  <si>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</si>
  <si>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</si>
  <si>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</si>
  <si>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</si>
  <si>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</si>
  <si>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</si>
  <si>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</si>
  <si>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</si>
  <si>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</si>
  <si>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</si>
  <si>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</si>
  <si>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</si>
  <si>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</si>
  <si>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</si>
  <si>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</si>
  <si>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</si>
  <si>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</si>
  <si>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</si>
  <si>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</si>
  <si>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</si>
  <si>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</si>
  <si>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</si>
  <si>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</si>
  <si>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</si>
  <si>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</si>
  <si>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</si>
  <si>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</si>
  <si>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</si>
  <si>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</si>
  <si>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</si>
  <si>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</si>
  <si>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</si>
  <si>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</si>
  <si>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</si>
  <si>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</si>
  <si>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</si>
  <si>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</si>
  <si>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</si>
  <si>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</si>
  <si>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</si>
  <si>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</si>
  <si>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</si>
  <si>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</si>
  <si>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</si>
  <si>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</si>
  <si>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</si>
  <si>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</si>
  <si>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</si>
  <si>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</si>
  <si>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</si>
  <si>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</si>
  <si>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</si>
  <si>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</si>
  <si>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</si>
  <si>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</si>
  <si>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</si>
  <si>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</si>
  <si>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</si>
  <si>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</si>
  <si>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</si>
  <si>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</si>
  <si>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</si>
  <si>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</si>
  <si>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</si>
  <si>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</si>
  <si>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</si>
  <si>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</si>
  <si>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</si>
  <si>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</si>
  <si>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</si>
  <si>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</si>
  <si>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</si>
  <si>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</si>
  <si>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</si>
  <si>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</si>
  <si>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</si>
  <si>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</si>
  <si>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</si>
  <si>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</si>
  <si>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</si>
  <si>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</si>
  <si>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</si>
  <si>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</si>
  <si>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</si>
  <si>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</si>
  <si>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</si>
  <si>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</si>
  <si>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</si>
  <si>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</si>
  <si>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</si>
  <si>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</si>
  <si>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</si>
  <si>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</si>
  <si>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</si>
  <si>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</si>
  <si>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</si>
  <si>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</si>
  <si>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</si>
  <si>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</si>
  <si>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</si>
  <si>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</si>
  <si>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</si>
  <si>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</si>
  <si>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</si>
  <si>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</si>
  <si>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</si>
  <si>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</si>
  <si>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</si>
  <si>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</si>
  <si>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</si>
  <si>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</si>
  <si>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</si>
  <si>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</si>
  <si>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</si>
  <si>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</si>
  <si>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</si>
  <si>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</si>
  <si>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</si>
  <si>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</si>
  <si>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</si>
  <si>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</si>
  <si>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</si>
  <si>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</si>
  <si>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</si>
  <si>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</si>
  <si>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</si>
  <si>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</si>
  <si>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</si>
  <si>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</si>
  <si>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</si>
  <si>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</si>
  <si>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</si>
  <si>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</si>
  <si>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</si>
  <si>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</si>
  <si>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</si>
  <si>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</si>
  <si>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</si>
  <si>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</si>
  <si>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</si>
  <si>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</si>
  <si>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</si>
  <si>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</si>
  <si>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</si>
  <si>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</si>
  <si>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</si>
  <si>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</si>
  <si>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</si>
  <si>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</si>
  <si>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</si>
  <si>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</si>
  <si>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</si>
  <si>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</si>
  <si>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</si>
  <si>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</si>
  <si>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</si>
  <si>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</si>
  <si>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</si>
  <si>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</si>
  <si>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</si>
  <si>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</si>
  <si>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</si>
  <si>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</si>
  <si>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</si>
  <si>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</si>
  <si>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</si>
  <si>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</si>
  <si>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</si>
  <si>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</si>
  <si>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</si>
  <si>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</si>
  <si>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</si>
  <si>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</si>
  <si>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</si>
  <si>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</si>
  <si>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</si>
  <si>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</si>
  <si>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</si>
  <si>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</si>
  <si>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</si>
  <si>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</si>
  <si>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</si>
  <si>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</si>
  <si>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</si>
  <si>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</si>
  <si>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</si>
  <si>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</si>
  <si>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</si>
  <si>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</si>
  <si>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</si>
  <si>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</si>
  <si>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</si>
  <si>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</si>
  <si>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</si>
  <si>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</si>
  <si>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</si>
  <si>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</si>
  <si>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</si>
  <si>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</si>
  <si>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</si>
  <si>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</si>
  <si>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</si>
  <si>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</si>
  <si>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</si>
  <si>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</si>
  <si>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</si>
  <si>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</si>
  <si>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</si>
  <si>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</si>
  <si>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</si>
  <si>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</si>
  <si>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</si>
  <si>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</si>
  <si>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</si>
  <si>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</si>
  <si>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</si>
  <si>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</si>
  <si>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</si>
  <si>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</si>
  <si>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</si>
  <si>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</si>
  <si>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</si>
  <si>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</si>
  <si>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</si>
  <si>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</si>
  <si>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</si>
  <si>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</si>
  <si>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</si>
  <si>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</si>
  <si>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</si>
  <si>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</si>
  <si>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</si>
  <si>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</si>
  <si>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</si>
  <si>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</si>
  <si>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</si>
  <si>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</si>
  <si>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</si>
  <si>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</si>
  <si>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</si>
  <si>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</si>
  <si>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</si>
  <si>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</si>
  <si>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</si>
  <si>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</si>
  <si>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</si>
  <si>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</si>
  <si>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</si>
  <si>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</si>
  <si>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</si>
  <si>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</si>
  <si>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</si>
  <si>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</si>
  <si>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</si>
  <si>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</si>
  <si>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</si>
  <si>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</si>
  <si>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</si>
  <si>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</si>
  <si>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</si>
  <si>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</si>
  <si>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</si>
  <si>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</si>
  <si>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</si>
  <si>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</si>
  <si>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</si>
  <si>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</si>
  <si>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</si>
  <si>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</si>
  <si>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</si>
  <si>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</si>
  <si>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</si>
  <si>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</si>
  <si>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</si>
  <si>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</si>
  <si>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</si>
  <si>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</si>
  <si>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</si>
  <si>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</si>
  <si>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</si>
  <si>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</si>
  <si>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</si>
  <si>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</si>
  <si>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</si>
  <si>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</si>
  <si>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</si>
  <si>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</si>
  <si>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</si>
  <si>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</si>
  <si>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</si>
  <si>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</si>
  <si>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</si>
  <si>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</si>
  <si>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</si>
  <si>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</si>
  <si>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</si>
  <si>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</si>
  <si>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</si>
  <si>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</si>
  <si>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</si>
  <si>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</si>
  <si>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</si>
  <si>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</si>
  <si>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</si>
  <si>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</si>
  <si>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</si>
  <si>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</si>
  <si>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</si>
  <si>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</si>
  <si>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</si>
  <si>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</si>
  <si>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</si>
  <si>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</si>
  <si>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</si>
  <si>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</si>
  <si>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</si>
  <si>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</si>
  <si>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</si>
  <si>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</si>
  <si>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</si>
  <si>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</si>
  <si>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</si>
  <si>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</si>
  <si>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</si>
  <si>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</si>
  <si>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</si>
  <si>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</si>
  <si>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</si>
  <si>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</si>
  <si>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</si>
  <si>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</si>
  <si>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</si>
  <si>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</si>
  <si>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</si>
  <si>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</si>
  <si>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</si>
  <si>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</si>
  <si>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</si>
  <si>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</si>
  <si>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</si>
  <si>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</si>
  <si>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</si>
  <si>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</si>
  <si>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</si>
  <si>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</si>
  <si>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</si>
  <si>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</si>
  <si>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</si>
  <si>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</si>
  <si>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</si>
  <si>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</si>
  <si>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</si>
  <si>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</si>
  <si>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</si>
  <si>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</si>
  <si>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</si>
  <si>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</si>
  <si>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</si>
  <si>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</si>
  <si>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</si>
  <si>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</si>
  <si>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</si>
  <si>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</si>
  <si>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</si>
  <si>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</si>
  <si>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</si>
  <si>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</si>
  <si>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</si>
  <si>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</si>
  <si>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</si>
  <si>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</si>
  <si>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</si>
  <si>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</si>
  <si>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</si>
  <si>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</si>
  <si>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</si>
  <si>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</si>
  <si>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</si>
  <si>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</si>
  <si>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</si>
  <si>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</si>
  <si>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</si>
  <si>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</si>
  <si>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</si>
  <si>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</si>
  <si>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</si>
  <si>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</si>
  <si>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</si>
  <si>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</si>
  <si>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</si>
  <si>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</si>
  <si>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</si>
  <si>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</si>
  <si>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</si>
  <si>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</si>
  <si>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</si>
  <si>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</si>
  <si>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</si>
  <si>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</si>
  <si>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</si>
  <si>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</si>
  <si>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</si>
  <si>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</si>
  <si>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</si>
  <si>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</si>
  <si>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</si>
  <si>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</si>
  <si>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</si>
  <si>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</si>
  <si>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</si>
  <si>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</si>
  <si>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</si>
  <si>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</si>
  <si>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</si>
  <si>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</si>
  <si>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</si>
  <si>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</si>
  <si>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</si>
  <si>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</si>
  <si>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</si>
  <si>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</si>
  <si>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</si>
  <si>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</si>
  <si>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</si>
  <si>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</si>
  <si>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</si>
  <si>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</si>
  <si>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</si>
  <si>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</si>
  <si>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</si>
  <si>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</si>
  <si>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</si>
  <si>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</si>
  <si>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</si>
  <si>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</si>
  <si>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</si>
  <si>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</si>
  <si>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</si>
  <si>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</si>
  <si>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</si>
  <si>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</si>
  <si>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</si>
  <si>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</si>
  <si>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</si>
  <si>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</si>
  <si>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</si>
  <si>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</si>
  <si>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</si>
  <si>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</si>
  <si>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</si>
  <si>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</si>
  <si>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</si>
  <si>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</si>
  <si>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</si>
  <si>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</si>
  <si>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</si>
  <si>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</si>
  <si>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</si>
  <si>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</si>
  <si>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</si>
  <si>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</si>
  <si>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</si>
  <si>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</si>
  <si>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</si>
  <si>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</si>
  <si>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</si>
  <si>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</si>
  <si>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</si>
  <si>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</si>
  <si>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</si>
  <si>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</si>
  <si>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</si>
  <si>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</si>
  <si>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</si>
  <si>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</si>
  <si>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</si>
  <si>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</si>
  <si>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</si>
  <si>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</si>
  <si>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</si>
  <si>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</si>
  <si>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</si>
  <si>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</si>
  <si>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</si>
  <si>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</si>
  <si>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</si>
  <si>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</si>
  <si>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</si>
  <si>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</si>
  <si>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</si>
  <si>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</si>
  <si>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</si>
  <si>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</si>
  <si>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</si>
  <si>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</si>
  <si>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</si>
  <si>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</si>
  <si>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</si>
  <si>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</si>
  <si>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</si>
  <si>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</si>
  <si>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</si>
  <si>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</si>
  <si>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</si>
  <si>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</si>
  <si>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</si>
  <si>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</si>
  <si>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</si>
  <si>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</si>
  <si>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</si>
  <si>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</si>
  <si>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</si>
  <si>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</si>
  <si>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</si>
  <si>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</si>
  <si>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</si>
  <si>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</si>
  <si>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</si>
  <si>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</si>
  <si>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</si>
  <si>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</si>
  <si>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</si>
  <si>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</si>
  <si>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</si>
  <si>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</si>
  <si>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</si>
  <si>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</si>
  <si>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</si>
  <si>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</si>
  <si>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</si>
  <si>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</si>
  <si>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</si>
  <si>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</si>
  <si>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</si>
  <si>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</si>
  <si>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</si>
  <si>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</si>
  <si>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</si>
  <si>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</si>
  <si>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</si>
  <si>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</si>
  <si>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</si>
  <si>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</si>
  <si>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</si>
  <si>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</si>
  <si>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</si>
  <si>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</si>
  <si>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</si>
  <si>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</si>
  <si>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</si>
  <si>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</si>
  <si>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</si>
  <si>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</si>
  <si>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</si>
  <si>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</si>
  <si>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</si>
  <si>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</si>
  <si>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</si>
  <si>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</si>
  <si>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</si>
  <si>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</si>
  <si>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</si>
  <si>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</si>
  <si>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</si>
  <si>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</si>
  <si>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</si>
  <si>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</si>
  <si>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</si>
  <si>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</si>
  <si>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</si>
  <si>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</si>
  <si>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</si>
  <si>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</si>
  <si>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</si>
  <si>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</si>
  <si>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</si>
  <si>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</si>
  <si>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</si>
  <si>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</si>
  <si>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</si>
  <si>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</si>
  <si>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</si>
  <si>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</si>
  <si>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</si>
  <si>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</si>
  <si>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</si>
  <si>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</si>
  <si>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</si>
  <si>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</si>
  <si>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</si>
  <si>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</si>
  <si>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</si>
  <si>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</si>
  <si>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</si>
  <si>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</si>
  <si>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</si>
  <si>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</si>
  <si>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</si>
  <si>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</si>
  <si>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</si>
  <si>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</si>
  <si>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</si>
  <si>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</si>
  <si>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</si>
  <si>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</si>
  <si>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</si>
  <si>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</si>
  <si>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</si>
  <si>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</si>
  <si>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</si>
  <si>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</si>
  <si>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</si>
  <si>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</si>
  <si>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</si>
  <si>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</si>
  <si>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</si>
  <si>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</si>
  <si>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</si>
  <si>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</si>
  <si>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</si>
  <si>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</si>
  <si>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</si>
  <si>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</si>
  <si>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</si>
  <si>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</si>
  <si>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</si>
  <si>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</si>
  <si>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</si>
  <si>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</si>
  <si>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</si>
  <si>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</si>
  <si>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</si>
  <si>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</si>
  <si>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</si>
  <si>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</si>
  <si>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</si>
  <si>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</si>
  <si>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</si>
  <si>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</si>
  <si>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</si>
  <si>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</si>
  <si>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</si>
  <si>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</si>
  <si>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</si>
  <si>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</si>
  <si>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</si>
  <si>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</si>
  <si>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</si>
  <si>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</si>
  <si>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</si>
  <si>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</si>
  <si>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</si>
  <si>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</si>
  <si>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</si>
  <si>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</si>
  <si>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</si>
  <si>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</si>
  <si>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</si>
  <si>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</si>
  <si>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</si>
  <si>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</si>
  <si>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</si>
  <si>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</si>
  <si>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</si>
  <si>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</si>
  <si>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</si>
  <si>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</si>
  <si>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</si>
  <si>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</si>
  <si>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</si>
  <si>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</si>
  <si>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</si>
  <si>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</si>
  <si>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</si>
  <si>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</si>
  <si>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</si>
  <si>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</si>
  <si>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</si>
  <si>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</si>
  <si>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</si>
  <si>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</si>
  <si>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</si>
  <si>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</si>
  <si>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</si>
  <si>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</si>
  <si>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</si>
  <si>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</si>
  <si>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</si>
  <si>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</si>
  <si>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</si>
  <si>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</si>
  <si>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</si>
  <si>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</si>
  <si>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</si>
  <si>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</si>
  <si>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</si>
  <si>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</si>
  <si>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</si>
  <si>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</si>
  <si>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</si>
  <si>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</si>
  <si>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</si>
  <si>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</si>
  <si>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</si>
  <si>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</si>
  <si>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</si>
  <si>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</si>
  <si>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</si>
  <si>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</si>
  <si>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</si>
  <si>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</si>
  <si>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</si>
  <si>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</si>
  <si>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</si>
  <si>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</si>
  <si>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</si>
  <si>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</si>
  <si>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</si>
  <si>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</si>
  <si>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</si>
  <si>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</si>
  <si>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</si>
  <si>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</si>
  <si>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</si>
  <si>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</si>
  <si>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</si>
  <si>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</si>
  <si>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</si>
  <si>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</si>
  <si>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</si>
  <si>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</si>
  <si>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</si>
  <si>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</si>
  <si>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</si>
  <si>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</si>
  <si>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</si>
  <si>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</si>
  <si>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</si>
  <si>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</si>
  <si>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</si>
  <si>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</si>
  <si>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</si>
  <si>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</si>
  <si>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</si>
  <si>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</si>
  <si>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</si>
  <si>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</si>
  <si>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</si>
  <si>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</si>
  <si>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</si>
  <si>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</si>
  <si>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</si>
  <si>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</si>
  <si>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</si>
  <si>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</si>
  <si>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</si>
  <si>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</si>
  <si>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</si>
  <si>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</si>
  <si>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</si>
  <si>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</si>
  <si>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</si>
  <si>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</si>
  <si>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</si>
  <si>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</si>
  <si>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</si>
  <si>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</si>
  <si>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</si>
  <si>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</si>
  <si>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</si>
  <si>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</si>
  <si>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</si>
  <si>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</si>
  <si>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</si>
  <si>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</si>
  <si>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</si>
  <si>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</si>
  <si>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</si>
  <si>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</si>
  <si>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</si>
  <si>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</si>
  <si>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</si>
  <si>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</si>
  <si>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</si>
  <si>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</si>
  <si>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</si>
  <si>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</si>
  <si>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</si>
  <si>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</si>
  <si>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</si>
  <si>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</si>
  <si>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</si>
  <si>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</si>
  <si>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</si>
  <si>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</si>
  <si>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</si>
  <si>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</si>
  <si>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</si>
  <si>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</si>
  <si>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</si>
  <si>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</si>
  <si>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</si>
  <si>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</si>
  <si>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</si>
  <si>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</si>
  <si>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</si>
  <si>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</si>
  <si>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</si>
  <si>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</si>
  <si>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</si>
  <si>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</si>
  <si>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</si>
  <si>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</si>
  <si>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</si>
  <si>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</si>
  <si>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</si>
  <si>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</si>
  <si>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</si>
  <si>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</si>
  <si>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</si>
  <si>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</si>
  <si>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</si>
  <si>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</si>
  <si>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</si>
  <si>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</si>
  <si>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</si>
  <si>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</si>
  <si>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</si>
  <si>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</si>
  <si>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</si>
  <si>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</si>
  <si>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</si>
  <si>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</si>
  <si>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</si>
  <si>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</si>
  <si>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</si>
  <si>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</si>
  <si>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</si>
  <si>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</si>
  <si>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</si>
  <si>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</si>
  <si>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</si>
  <si>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</si>
  <si>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</si>
  <si>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</si>
  <si>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</si>
  <si>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</si>
  <si>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</si>
  <si>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</si>
  <si>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</si>
  <si>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</si>
  <si>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</si>
  <si>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</si>
  <si>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</si>
  <si>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</si>
  <si>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</si>
  <si>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</si>
  <si>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</si>
  <si>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</si>
  <si>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</si>
  <si>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</si>
  <si>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</si>
  <si>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</si>
  <si>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</si>
  <si>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</si>
  <si>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</si>
  <si>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</si>
  <si>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</si>
  <si>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</si>
  <si>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</si>
  <si>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</si>
  <si>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</si>
  <si>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</si>
  <si>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</si>
  <si>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</si>
  <si>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</si>
  <si>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</si>
  <si>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</si>
  <si>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</si>
  <si>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</si>
  <si>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</si>
  <si>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</si>
  <si>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</si>
  <si>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</si>
  <si>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</si>
  <si>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</si>
  <si>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</si>
  <si>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</si>
  <si>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</si>
  <si>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</si>
  <si>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</si>
  <si>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</si>
  <si>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</si>
  <si>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</si>
  <si>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</si>
  <si>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</si>
  <si>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</si>
  <si>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</si>
  <si>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</si>
  <si>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</si>
  <si>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</si>
  <si>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</si>
  <si>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</si>
  <si>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</si>
  <si>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</si>
  <si>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</si>
  <si>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</si>
  <si>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</si>
  <si>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</si>
  <si>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</si>
  <si>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</si>
  <si>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</si>
  <si>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</si>
  <si>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</si>
  <si>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</si>
  <si>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</si>
  <si>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</si>
  <si>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</si>
  <si>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</si>
  <si>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</si>
  <si>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</si>
  <si>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</si>
  <si>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</si>
  <si>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</si>
  <si>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</si>
  <si>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</si>
  <si>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</si>
  <si>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</si>
  <si>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</si>
  <si>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</si>
  <si>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</si>
  <si>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</si>
  <si>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</si>
  <si>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</si>
  <si>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</si>
  <si>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</si>
  <si>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</si>
  <si>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</si>
  <si>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</si>
  <si>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</si>
  <si>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</si>
  <si>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</si>
  <si>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</si>
  <si>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</si>
  <si>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</si>
  <si>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</si>
  <si>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</si>
  <si>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</si>
  <si>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</si>
  <si>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</si>
  <si>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</si>
  <si>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</si>
  <si>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</si>
  <si>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</si>
  <si>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</si>
  <si>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</si>
  <si>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</si>
  <si>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</si>
  <si>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</si>
  <si>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</si>
  <si>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</si>
  <si>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</si>
  <si>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</si>
  <si>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</si>
  <si>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</si>
  <si>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</si>
  <si>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</si>
  <si>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</si>
  <si>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</si>
  <si>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</si>
  <si>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</si>
  <si>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</si>
  <si>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</si>
  <si>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</si>
  <si>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</si>
  <si>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</si>
  <si>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</si>
  <si>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</si>
  <si>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</si>
  <si>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</si>
  <si>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</si>
  <si>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</si>
  <si>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</si>
  <si>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</si>
  <si>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</si>
  <si>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</si>
  <si>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</si>
  <si>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</si>
  <si>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</si>
  <si>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</si>
  <si>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</si>
  <si>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</si>
  <si>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</si>
  <si>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</si>
  <si>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</si>
  <si>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</si>
  <si>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</si>
  <si>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</si>
  <si>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</si>
  <si>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</si>
  <si>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</si>
  <si>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</si>
  <si>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</si>
  <si>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</si>
  <si>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</si>
  <si>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</si>
  <si>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</si>
  <si>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</si>
  <si>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</si>
  <si>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</si>
  <si>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</si>
  <si>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</si>
  <si>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</si>
  <si>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</si>
  <si>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</si>
  <si>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</si>
  <si>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</si>
  <si>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</si>
  <si>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</si>
  <si>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</si>
  <si>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</si>
  <si>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</si>
  <si>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</si>
  <si>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</si>
  <si>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</si>
  <si>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</si>
  <si>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</si>
  <si>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</si>
  <si>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</si>
  <si>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</si>
  <si>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</si>
  <si>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</si>
  <si>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</si>
  <si>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</si>
  <si>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</si>
  <si>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</si>
  <si>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</si>
  <si>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</si>
  <si>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</si>
  <si>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</si>
  <si>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</si>
  <si>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</si>
  <si>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</si>
  <si>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</si>
  <si>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</si>
  <si>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</si>
  <si>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</si>
  <si>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</si>
  <si>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</si>
  <si>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</si>
  <si>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</si>
  <si>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</si>
  <si>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</si>
  <si>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</si>
  <si>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</si>
  <si>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</si>
  <si>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</si>
  <si>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</si>
  <si>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</si>
  <si>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</si>
  <si>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</si>
  <si>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</si>
  <si>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</si>
  <si>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</si>
  <si>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</si>
  <si>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</si>
  <si>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</si>
  <si>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</si>
  <si>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</si>
  <si>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</si>
  <si>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</si>
  <si>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</si>
  <si>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</si>
  <si>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</si>
  <si>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</si>
  <si>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</si>
  <si>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</si>
  <si>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</si>
  <si>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</si>
  <si>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</si>
  <si>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</si>
  <si>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</si>
  <si>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</si>
  <si>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</si>
  <si>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</si>
  <si>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</si>
  <si>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</si>
  <si>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</si>
  <si>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</si>
  <si>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</si>
  <si>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</si>
  <si>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</si>
  <si>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</si>
  <si>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</si>
  <si>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</si>
  <si>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</si>
  <si>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</si>
  <si>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</si>
  <si>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</si>
  <si>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</si>
  <si>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</si>
  <si>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</si>
  <si>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</si>
  <si>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</si>
  <si>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</si>
  <si>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</si>
  <si>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</si>
  <si>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</si>
  <si>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</si>
  <si>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</si>
  <si>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</si>
  <si>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</si>
  <si>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</si>
  <si>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</si>
  <si>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</si>
  <si>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</si>
  <si>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</si>
  <si>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</si>
  <si>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</si>
  <si>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</si>
  <si>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</si>
  <si>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</si>
  <si>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</si>
  <si>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</si>
  <si>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</si>
  <si>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</si>
  <si>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</si>
  <si>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</si>
  <si>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</si>
  <si>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</si>
  <si>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</si>
  <si>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</si>
  <si>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</si>
  <si>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</si>
  <si>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</si>
  <si>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</si>
  <si>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</si>
  <si>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</si>
  <si>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</si>
  <si>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</si>
  <si>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</si>
  <si>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</si>
  <si>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</si>
  <si>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</si>
  <si>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</si>
  <si>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</si>
  <si>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</si>
  <si>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</si>
  <si>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</si>
  <si>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</si>
  <si>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</si>
  <si>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</si>
  <si>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</si>
  <si>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</si>
  <si>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</si>
  <si>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</si>
  <si>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</si>
  <si>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</si>
  <si>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</si>
  <si>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</si>
  <si>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</si>
  <si>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</si>
  <si>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</si>
  <si>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</si>
  <si>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</si>
  <si>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</si>
  <si>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</si>
  <si>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</si>
  <si>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</si>
  <si>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</si>
  <si>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</si>
  <si>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</si>
  <si>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</si>
  <si>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</si>
  <si>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</si>
  <si>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</si>
  <si>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</si>
  <si>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</si>
  <si>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</si>
  <si>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</si>
  <si>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</si>
  <si>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</si>
  <si>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</si>
  <si>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</si>
  <si>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</si>
  <si>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</si>
  <si>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</si>
  <si>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</si>
  <si>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</si>
  <si>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</si>
  <si>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</si>
  <si>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</si>
  <si>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</si>
  <si>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</si>
  <si>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</si>
  <si>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</si>
  <si>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</si>
  <si>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</si>
  <si>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</si>
  <si>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</si>
  <si>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</si>
  <si>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</si>
  <si>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</si>
  <si>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</si>
  <si>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</si>
  <si>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</si>
  <si>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</si>
  <si>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</si>
  <si>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</si>
  <si>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</si>
  <si>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</si>
  <si>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</si>
  <si>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</si>
  <si>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</si>
  <si>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</si>
  <si>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</si>
  <si>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</si>
  <si>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</si>
  <si>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</si>
  <si>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</si>
  <si>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</si>
  <si>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</si>
  <si>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</si>
  <si>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</si>
  <si>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</si>
  <si>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</si>
  <si>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</si>
  <si>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</si>
  <si>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</si>
  <si>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</si>
  <si>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</si>
  <si>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</si>
  <si>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</si>
  <si>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</si>
  <si>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</si>
  <si>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</si>
  <si>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</si>
  <si>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</si>
  <si>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</si>
  <si>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</si>
  <si>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</si>
  <si>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</si>
  <si>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</si>
  <si>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</si>
  <si>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</si>
  <si>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</si>
  <si>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</si>
  <si>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</si>
  <si>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</si>
  <si>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</si>
  <si>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</si>
  <si>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</si>
  <si>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</si>
  <si>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</si>
  <si>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</si>
  <si>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</si>
  <si>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</si>
  <si>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</si>
  <si>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</si>
  <si>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</si>
  <si>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</si>
  <si>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</si>
  <si>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</si>
  <si>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</si>
  <si>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</si>
  <si>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</si>
  <si>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</si>
  <si>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</si>
  <si>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</si>
  <si>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</si>
  <si>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</si>
  <si>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</si>
  <si>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</si>
  <si>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</si>
  <si>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</si>
  <si>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</si>
  <si>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</si>
  <si>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</si>
  <si>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</si>
  <si>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</si>
  <si>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</si>
  <si>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</si>
  <si>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</si>
  <si>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</si>
  <si>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</si>
  <si>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</si>
  <si>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</si>
  <si>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</si>
  <si>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</si>
  <si>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</si>
  <si>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</si>
  <si>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</si>
  <si>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</si>
  <si>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</si>
  <si>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</si>
  <si>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</si>
  <si>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</si>
  <si>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</si>
  <si>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</si>
  <si>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</si>
  <si>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</si>
  <si>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</si>
  <si>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</si>
  <si>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</si>
  <si>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</si>
  <si>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</si>
  <si>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</si>
  <si>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</si>
  <si>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</si>
  <si>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</si>
  <si>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</si>
  <si>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</si>
  <si>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</si>
  <si>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</si>
  <si>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</si>
  <si>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</si>
  <si>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</si>
  <si>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</si>
  <si>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</si>
  <si>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</si>
  <si>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</si>
  <si>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</si>
  <si>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</si>
  <si>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</si>
  <si>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</si>
  <si>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</si>
  <si>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</si>
  <si>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</si>
  <si>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</si>
  <si>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</si>
  <si>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</si>
  <si>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</si>
  <si>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</si>
  <si>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</si>
  <si>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</si>
  <si>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</si>
  <si>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</si>
  <si>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</si>
  <si>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</si>
  <si>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</si>
  <si>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</si>
  <si>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</si>
  <si>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</si>
  <si>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</si>
  <si>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</si>
  <si>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</si>
  <si>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</si>
  <si>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</si>
  <si>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</si>
  <si>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</si>
  <si>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</si>
  <si>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</si>
  <si>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</si>
  <si>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</si>
  <si>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</si>
  <si>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</si>
  <si>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</si>
  <si>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</si>
  <si>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</si>
  <si>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</si>
  <si>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</si>
  <si>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</si>
  <si>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</si>
  <si>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</si>
  <si>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</si>
  <si>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</si>
  <si>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</si>
  <si>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</si>
  <si>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</si>
  <si>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</si>
  <si>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</si>
  <si>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</si>
  <si>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</si>
  <si>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</si>
  <si>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</si>
  <si>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</si>
  <si>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</si>
  <si>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</si>
  <si>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</si>
  <si>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</si>
  <si>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</si>
  <si>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</si>
  <si>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</si>
  <si>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</si>
  <si>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</si>
  <si>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</si>
  <si>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</si>
  <si>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</si>
  <si>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</si>
  <si>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</si>
  <si>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</si>
  <si>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</si>
  <si>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</si>
  <si>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</si>
  <si>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</si>
  <si>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</si>
  <si>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</si>
  <si>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</si>
  <si>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</si>
  <si>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</si>
  <si>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</si>
  <si>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</si>
  <si>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</si>
  <si>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</si>
  <si>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</si>
  <si>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</si>
  <si>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</si>
  <si>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</si>
  <si>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</si>
  <si>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</si>
  <si>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</si>
  <si>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</si>
  <si>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</si>
  <si>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</si>
  <si>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</si>
  <si>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</si>
  <si>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</si>
  <si>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</si>
  <si>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</si>
  <si>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</si>
  <si>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</si>
  <si>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</si>
  <si>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</si>
  <si>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</si>
  <si>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</si>
  <si>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</si>
  <si>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</si>
  <si>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</si>
  <si>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</si>
  <si>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</si>
  <si>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</si>
  <si>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</si>
  <si>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</si>
  <si>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</si>
  <si>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</si>
  <si>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</si>
  <si>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</si>
  <si>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</si>
  <si>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</si>
  <si>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</si>
  <si>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</si>
  <si>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</si>
  <si>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</si>
  <si>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</si>
  <si>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</si>
  <si>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</si>
  <si>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</si>
  <si>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</si>
  <si>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</si>
  <si>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</si>
  <si>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</si>
  <si>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</si>
  <si>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</si>
  <si>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</si>
  <si>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</si>
  <si>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</si>
  <si>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</si>
  <si>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</si>
  <si>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</si>
  <si>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</si>
  <si>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</si>
  <si>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</si>
  <si>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</si>
  <si>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</si>
  <si>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</si>
  <si>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</si>
  <si>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</si>
  <si>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</si>
  <si>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</si>
  <si>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</si>
  <si>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</si>
  <si>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</si>
  <si>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</si>
  <si>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</si>
  <si>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</si>
  <si>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</si>
  <si>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</si>
  <si>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</si>
  <si>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</si>
  <si>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</si>
  <si>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</si>
  <si>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通上水</t>
  </si>
  <si>
    <t>通下水</t>
  </si>
  <si>
    <t>燃气</t>
  </si>
  <si>
    <t>平整</t>
  </si>
  <si>
    <t>按公示增长率计算</t>
  </si>
  <si>
    <t>中心城区</t>
  </si>
  <si>
    <t>好</t>
  </si>
  <si>
    <t>较好</t>
  </si>
  <si>
    <t>楼层修正</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</si>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</sst>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1271;&#22823;&#24742;&#2247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207366.83</v>
          </cell>
          <cell r="AL13">
            <v>457.54</v>
          </cell>
        </row>
      </sheetData>
      <sheetData sheetId="12" refreshError="1"/>
      <sheetData sheetId="13">
        <row r="2">
          <cell r="D2">
            <v>20992.38</v>
          </cell>
        </row>
        <row r="3">
          <cell r="D3">
            <v>21209.27</v>
          </cell>
        </row>
        <row r="4">
          <cell r="D4">
            <v>21001.57</v>
          </cell>
        </row>
        <row r="5">
          <cell r="D5">
            <v>21428.01</v>
          </cell>
        </row>
        <row r="6">
          <cell r="D6">
            <v>22715.4</v>
          </cell>
        </row>
        <row r="7">
          <cell r="D7">
            <v>22146.71</v>
          </cell>
        </row>
        <row r="8">
          <cell r="D8">
            <v>21504.07</v>
          </cell>
        </row>
        <row r="9">
          <cell r="D9">
            <v>18700.060000000001</v>
          </cell>
        </row>
        <row r="10">
          <cell r="D10">
            <v>14749.29</v>
          </cell>
        </row>
        <row r="11">
          <cell r="D11">
            <v>14967.36</v>
          </cell>
        </row>
        <row r="12">
          <cell r="D12">
            <v>8410.25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2022年8月25日</v>
      </c>
    </row>
    <row r="13" spans="1:2" s="2762" customFormat="1">
      <c r="A13" s="2760" t="s">
        <v>742</v>
      </c>
      <c r="B13" s="2761"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52806</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21.93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344</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44798</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44798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2022年8月25日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44798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44798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43" zoomScaleNormal="80" zoomScaleSheetLayoutView="100" workbookViewId="0">
      <selection activeCell="P62" sqref="P6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207366.83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284087</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Ⅳ-21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21451</v>
      </c>
      <c r="U2" s="2269">
        <f>[2]面积表!$D$2-'[2]数据-基础表'!$AL$13</f>
        <v>20534.84</v>
      </c>
      <c r="V2" s="477">
        <f>ROUND(T2*U2/10000,0)</f>
        <v>44049</v>
      </c>
      <c r="W2" s="2262"/>
      <c r="X2" s="2262"/>
      <c r="Y2" s="2262"/>
      <c r="Z2" s="2262"/>
      <c r="AA2" s="2262"/>
      <c r="AB2" s="2262"/>
      <c r="AC2" s="2262"/>
      <c r="AD2" s="2263"/>
      <c r="AE2" s="2263"/>
      <c r="AF2" s="2263"/>
      <c r="AG2" s="2263"/>
      <c r="AH2" s="2263"/>
      <c r="AI2" s="2263"/>
      <c r="AJ2" s="2264"/>
    </row>
    <row r="3" spans="1:36" ht="15.75">
      <c r="A3" s="2265" t="s">
        <v>2177</v>
      </c>
      <c r="B3" s="2265">
        <f>ROUND(B2*10000/D1,0)</f>
        <v>13700</v>
      </c>
      <c r="C3" s="2266" t="s">
        <v>2178</v>
      </c>
      <c r="D3" s="473" t="s">
        <v>2179</v>
      </c>
      <c r="E3" s="2267" t="s">
        <v>2823</v>
      </c>
      <c r="F3" s="2270" t="s">
        <v>3095</v>
      </c>
      <c r="G3" s="2271">
        <v>6.15</v>
      </c>
      <c r="H3" s="473" t="s">
        <v>2180</v>
      </c>
      <c r="I3" s="2271">
        <v>11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16908</v>
      </c>
      <c r="U3" s="2269">
        <f>[2]面积表!$D$3</f>
        <v>21209.27</v>
      </c>
      <c r="V3" s="477">
        <f t="shared" ref="V3:V16" si="1">ROUND(T3*U3/10000,0)</f>
        <v>35861</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16570</v>
      </c>
      <c r="N4" s="473">
        <f>SUMPRODUCT((因素修正幅度!B55:B86=I2)*(因素修正幅度!C3:G3=E2)*(因素修正幅度!C55:G86))</f>
        <v>0.1</v>
      </c>
      <c r="O4" s="2259"/>
      <c r="P4" s="2259"/>
      <c r="Q4" s="2259"/>
      <c r="R4" s="477">
        <v>3</v>
      </c>
      <c r="S4" s="477">
        <f>ROUND(SUMPRODUCT((B107:B111=R4)*(C106:N106=G2)*(C107:N111)),4)</f>
        <v>1.0004999999999999</v>
      </c>
      <c r="T4" s="477">
        <f t="shared" si="0"/>
        <v>14290</v>
      </c>
      <c r="U4" s="2269">
        <f>[2]面积表!$D$4</f>
        <v>21001.57</v>
      </c>
      <c r="V4" s="477">
        <f t="shared" si="1"/>
        <v>30011</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16550</v>
      </c>
      <c r="D5" s="2274">
        <f>ROUND(C6*C17+C20,0)</f>
        <v>16550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12603</v>
      </c>
      <c r="U5" s="2269">
        <f>[2]面积表!$D$5</f>
        <v>21428.01</v>
      </c>
      <c r="V5" s="477">
        <f t="shared" si="1"/>
        <v>27006</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16570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12112</v>
      </c>
      <c r="U6" s="2269">
        <f>[2]面积表!$D$6</f>
        <v>22715.4</v>
      </c>
      <c r="V6" s="477">
        <f t="shared" si="1"/>
        <v>27513</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v>0.83850000000000002</v>
      </c>
      <c r="T7" s="477">
        <f t="shared" si="0"/>
        <v>11976</v>
      </c>
      <c r="U7" s="2269">
        <f>[2]面积表!$D$7</f>
        <v>22146.71</v>
      </c>
      <c r="V7" s="477">
        <f t="shared" si="1"/>
        <v>26523</v>
      </c>
      <c r="W7" s="2293" t="s">
        <v>2193</v>
      </c>
      <c r="X7" s="498" t="str">
        <f>G2</f>
        <v>四级</v>
      </c>
      <c r="Y7" s="498" t="s">
        <v>2194</v>
      </c>
      <c r="Z7" s="498">
        <f>G3</f>
        <v>6.15</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v>0.83640000000000003</v>
      </c>
      <c r="T8" s="477">
        <f t="shared" si="0"/>
        <v>11946</v>
      </c>
      <c r="U8" s="2269">
        <f>[2]面积表!$D$8</f>
        <v>21504.07</v>
      </c>
      <c r="V8" s="477">
        <f t="shared" si="1"/>
        <v>25689</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v>0.83399999999999996</v>
      </c>
      <c r="T9" s="477">
        <f t="shared" si="0"/>
        <v>11912</v>
      </c>
      <c r="U9" s="2269">
        <f>[2]面积表!$D$9</f>
        <v>18700.060000000001</v>
      </c>
      <c r="V9" s="477">
        <f t="shared" si="1"/>
        <v>22276</v>
      </c>
      <c r="W9" s="3274"/>
      <c r="X9" s="2299" t="s">
        <v>2716</v>
      </c>
      <c r="Y9" s="2300">
        <v>11</v>
      </c>
      <c r="Z9" s="2301">
        <f>$Y$9</f>
        <v>11</v>
      </c>
      <c r="AA9" s="2301">
        <f t="shared" ref="AA9:AJ9" si="2">$Y$9</f>
        <v>11</v>
      </c>
      <c r="AB9" s="2301">
        <f t="shared" si="2"/>
        <v>11</v>
      </c>
      <c r="AC9" s="2301">
        <f t="shared" si="2"/>
        <v>11</v>
      </c>
      <c r="AD9" s="2301">
        <f t="shared" si="2"/>
        <v>11</v>
      </c>
      <c r="AE9" s="2301">
        <f t="shared" si="2"/>
        <v>11</v>
      </c>
      <c r="AF9" s="2301">
        <f t="shared" si="2"/>
        <v>11</v>
      </c>
      <c r="AG9" s="2301">
        <f t="shared" si="2"/>
        <v>11</v>
      </c>
      <c r="AH9" s="2301">
        <f t="shared" si="2"/>
        <v>11</v>
      </c>
      <c r="AI9" s="2301">
        <f t="shared" si="2"/>
        <v>11</v>
      </c>
      <c r="AJ9" s="2301">
        <f t="shared" si="2"/>
        <v>11</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v>0.83150000000000002</v>
      </c>
      <c r="T10" s="477">
        <f t="shared" si="0"/>
        <v>11876</v>
      </c>
      <c r="U10" s="2269">
        <f>[2]面积表!$D$10</f>
        <v>14749.29</v>
      </c>
      <c r="V10" s="477">
        <f t="shared" si="1"/>
        <v>17516</v>
      </c>
      <c r="W10" s="3274"/>
      <c r="X10" s="2299">
        <v>6</v>
      </c>
      <c r="Y10" s="2302">
        <f>ROUND((-0.5556*(Y9^2)-0.2719*Y9+8944)*(10^(-4)),4)</f>
        <v>0.88739999999999997</v>
      </c>
      <c r="Z10" s="2302">
        <f>ROUND((-0.5556*(Z9^2)-0.2719*Z9+8944)*(10^(-4)),4)</f>
        <v>0.88739999999999997</v>
      </c>
      <c r="AA10" s="2302">
        <f>ROUND((-0.7912*(AA9^2)-11.3794*AA9+8482)*(10^(-4)),4)</f>
        <v>0.82609999999999995</v>
      </c>
      <c r="AB10" s="2302">
        <f>ROUND((-0.7912*(AB9^2)-11.3794*AB9+8482)*(10^(-4)),4)</f>
        <v>0.82609999999999995</v>
      </c>
      <c r="AC10" s="2302">
        <f>ROUND((-0.7912*(AC9^2)-11.3794*AC9+8482)*(10^(-4)),4)</f>
        <v>0.82609999999999995</v>
      </c>
      <c r="AD10" s="2302">
        <f>ROUND((-0.7912*(AD9^2)-11.3794*AD9+8482)*(10^(-4)),4)</f>
        <v>0.82609999999999995</v>
      </c>
      <c r="AE10" s="2302">
        <f>ROUND((-0.7912*(AE9^2)-11.3794*AE9+8482)*(10^(-4)),4)</f>
        <v>0.82609999999999995</v>
      </c>
      <c r="AF10" s="2302">
        <f>ROUND((-0.989*(AF9^2)-63.78*AF9+7771)*(10^(-4)),4)</f>
        <v>0.69499999999999995</v>
      </c>
      <c r="AG10" s="2302">
        <f>ROUND((-0.989*(AG9^2)-63.78*AG9+7771)*(10^(-4)),4)</f>
        <v>0.69499999999999995</v>
      </c>
      <c r="AH10" s="2302">
        <f>ROUND((-0.989*(AH9^2)-63.78*AH9+7771)*(10^(-4)),4)</f>
        <v>0.69499999999999995</v>
      </c>
      <c r="AI10" s="2302">
        <f>ROUND((-0.989*(AI9^2)-63.78*AI9+7771)*(10^(-4)),4)</f>
        <v>0.69499999999999995</v>
      </c>
      <c r="AJ10" s="2302">
        <f>ROUND((-0.989*(AJ9^2)-63.78*AJ9+7771)*(10^(-4)),4)</f>
        <v>0.69499999999999995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v>0.82889999999999997</v>
      </c>
      <c r="T11" s="477">
        <f t="shared" si="0"/>
        <v>11839</v>
      </c>
      <c r="U11" s="2269">
        <f>[2]面积表!$D$11</f>
        <v>14967.36</v>
      </c>
      <c r="V11" s="477">
        <f t="shared" si="1"/>
        <v>17720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v>0.82609999999999995</v>
      </c>
      <c r="T12" s="477">
        <f t="shared" si="0"/>
        <v>11799</v>
      </c>
      <c r="U12" s="2269">
        <f>[2]面积表!$D$12</f>
        <v>8410.25</v>
      </c>
      <c r="V12" s="477">
        <f t="shared" si="1"/>
        <v>9923</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-20</v>
      </c>
      <c r="D20" s="3279" t="s">
        <v>2237</v>
      </c>
      <c r="E20" s="3280"/>
      <c r="F20" s="3279" t="s">
        <v>2234</v>
      </c>
      <c r="G20" s="3280"/>
      <c r="H20" s="2347" t="s">
        <v>3097</v>
      </c>
      <c r="I20" s="2347" t="s">
        <v>3098</v>
      </c>
      <c r="J20" s="2989" t="s">
        <v>3099</v>
      </c>
      <c r="K20" s="2347" t="s">
        <v>3100</v>
      </c>
      <c r="L20" s="2347" t="s">
        <v>3101</v>
      </c>
      <c r="M20" s="2347" t="s">
        <v>3102</v>
      </c>
      <c r="N20" s="2347" t="s">
        <v>3103</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3090</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44798</v>
      </c>
      <c r="H23" s="2361" t="s">
        <v>3104</v>
      </c>
      <c r="I23" s="2360" t="str">
        <f>IF(H23="季度增幅（自定义）",SUMIF(N25:N28,E2,O25:O28),"")</f>
        <v/>
      </c>
      <c r="J23" s="2982" t="s">
        <v>3105</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0.78290000000000004</v>
      </c>
      <c r="D24" s="2365" t="s">
        <v>2246</v>
      </c>
      <c r="E24" s="2365">
        <f>存贷款利率!E20/100</f>
        <v>4.3499999999999997E-2</v>
      </c>
      <c r="F24" s="2365" t="s">
        <v>2238</v>
      </c>
      <c r="G24" s="2366">
        <f>SUMIF(M30:Q30,E2,M33:Q33)</f>
        <v>5.5E-2</v>
      </c>
      <c r="H24" s="2365" t="s">
        <v>2247</v>
      </c>
      <c r="I24" s="2367">
        <f>项目基本情况!E15</f>
        <v>21.93</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3108</v>
      </c>
      <c r="C25" s="491">
        <f>IF(B25="容积率修正",IF(G3&lt;10,D26,J26),C27)</f>
        <v>0.82609999999999995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0.88119999999999998</v>
      </c>
      <c r="E26" s="493">
        <f>ROUNDDOWN(G3,1)</f>
        <v>6.1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0.88229999999999997</v>
      </c>
      <c r="G26" s="493">
        <f>ROUNDUP(G3,1)</f>
        <v>6.1999999999999993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0.82609999999999995</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1.081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284087</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71022</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11799</v>
      </c>
      <c r="D33" s="2420">
        <f>'[2]数据-基础表'!$I$13</f>
        <v>207366.83</v>
      </c>
      <c r="E33" s="2421">
        <f>ROUND(C33*D33/10000,0)</f>
        <v>244672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71022</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8569</v>
      </c>
      <c r="D37" s="2420"/>
      <c r="E37" s="473">
        <f>ROUND(C37*D37/10000,0)</f>
        <v>0</v>
      </c>
      <c r="F37" s="473">
        <f>SUMIF(修正!A57:A68,G2,修正!B57:B68)</f>
        <v>0.6</v>
      </c>
      <c r="G37" s="473">
        <f>ROUND(IF(E2="工业",C37*$M$42,C37*$M$41),0)</f>
        <v>2142</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4285</v>
      </c>
      <c r="D38" s="2420"/>
      <c r="E38" s="473">
        <f t="shared" ref="E38:E42" si="4">ROUND(C38*D38/10000,0)</f>
        <v>0</v>
      </c>
      <c r="F38" s="473">
        <f>SUMIF(修正!A57:A68,G2,修正!C57:C68)</f>
        <v>0.3</v>
      </c>
      <c r="G38" s="473">
        <f>ROUND(IF(E2="工业",C38*$M$42,C38*$M$41),0)</f>
        <v>1071</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3571</v>
      </c>
      <c r="D39" s="2420"/>
      <c r="E39" s="473">
        <f t="shared" si="4"/>
        <v>0</v>
      </c>
      <c r="F39" s="473">
        <f>SUMIF(修正!A57:A68,G2,修正!D57:D68)</f>
        <v>0.25</v>
      </c>
      <c r="G39" s="473">
        <f>ROUND(IF(E2="工业",C39*$M$42,C39*$M$41),0)</f>
        <v>893</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3571</v>
      </c>
      <c r="D40" s="2420"/>
      <c r="E40" s="473">
        <f t="shared" si="4"/>
        <v>0</v>
      </c>
      <c r="F40" s="495">
        <f>SUMIF(修正!A57:A68,G2,修正!E57:E68)</f>
        <v>0.25</v>
      </c>
      <c r="G40" s="473">
        <f>ROUND(IF(E2="工业",C40*$M$42,C40*$M$41),0)</f>
        <v>893</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1.081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0.03</v>
      </c>
      <c r="E51" s="2458">
        <f>ROUND(SUM(D51:D59),4)</f>
        <v>8.1000000000000003E-2</v>
      </c>
      <c r="F51" s="2329">
        <f>IF(E2="商业",SUMIF(L1:L12,G2,N1:N12),"——")</f>
        <v>0.1</v>
      </c>
      <c r="G51" s="2459">
        <f>H51</f>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3106</v>
      </c>
      <c r="D52" s="499">
        <f t="shared" si="7"/>
        <v>2.1999999999999999E-2</v>
      </c>
      <c r="E52" s="2461"/>
      <c r="F52" s="2402"/>
      <c r="G52" s="2459">
        <f t="shared" ref="G52:G59" si="12">H52</f>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3107</v>
      </c>
      <c r="D53" s="499">
        <f t="shared" si="7"/>
        <v>6.0000000000000001E-3</v>
      </c>
      <c r="E53" s="2461"/>
      <c r="F53" s="2402"/>
      <c r="G53" s="2459">
        <f t="shared" si="12"/>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3107</v>
      </c>
      <c r="D54" s="499">
        <f t="shared" si="7"/>
        <v>2.5000000000000001E-3</v>
      </c>
      <c r="E54" s="2461"/>
      <c r="F54" s="2402"/>
      <c r="G54" s="2459">
        <f t="shared" si="12"/>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3109</v>
      </c>
      <c r="D55" s="499">
        <f t="shared" si="7"/>
        <v>0</v>
      </c>
      <c r="E55" s="2461"/>
      <c r="F55" s="2402"/>
      <c r="G55" s="2459">
        <f t="shared" si="12"/>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3106</v>
      </c>
      <c r="D56" s="499">
        <f t="shared" si="7"/>
        <v>5.0000000000000001E-3</v>
      </c>
      <c r="E56" s="2461"/>
      <c r="F56" s="2402"/>
      <c r="G56" s="2459">
        <f t="shared" si="12"/>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3106</v>
      </c>
      <c r="D57" s="499">
        <f t="shared" si="7"/>
        <v>5.0000000000000001E-3</v>
      </c>
      <c r="E57" s="2461"/>
      <c r="F57" s="2402"/>
      <c r="G57" s="2459">
        <f t="shared" si="12"/>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3106</v>
      </c>
      <c r="D58" s="499">
        <f t="shared" si="7"/>
        <v>8.0000000000000002E-3</v>
      </c>
      <c r="E58" s="2461"/>
      <c r="F58" s="2402"/>
      <c r="G58" s="2459">
        <f t="shared" si="12"/>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3107</v>
      </c>
      <c r="D59" s="499">
        <f t="shared" si="7"/>
        <v>2.5000000000000001E-3</v>
      </c>
      <c r="E59" s="487"/>
      <c r="F59" s="2402"/>
      <c r="G59" s="2459">
        <f t="shared" si="12"/>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11</v>
      </c>
      <c r="D112" s="2482">
        <f t="shared" ref="D112:M112" si="34">$I$3</f>
        <v>11</v>
      </c>
      <c r="E112" s="2482">
        <f t="shared" si="34"/>
        <v>11</v>
      </c>
      <c r="F112" s="2482">
        <f t="shared" si="34"/>
        <v>11</v>
      </c>
      <c r="G112" s="2482">
        <f t="shared" si="34"/>
        <v>11</v>
      </c>
      <c r="H112" s="2482">
        <f t="shared" si="34"/>
        <v>11</v>
      </c>
      <c r="I112" s="2482">
        <f t="shared" si="34"/>
        <v>11</v>
      </c>
      <c r="J112" s="2482">
        <f t="shared" si="34"/>
        <v>11</v>
      </c>
      <c r="K112" s="2482">
        <f t="shared" si="34"/>
        <v>11</v>
      </c>
      <c r="L112" s="2482">
        <f t="shared" si="34"/>
        <v>11</v>
      </c>
      <c r="M112" s="2482">
        <f t="shared" si="34"/>
        <v>11</v>
      </c>
      <c r="N112" s="2482">
        <f>$I$3</f>
        <v>11</v>
      </c>
    </row>
    <row r="113" spans="1:14">
      <c r="A113" s="3272"/>
      <c r="B113" s="2421">
        <v>6</v>
      </c>
      <c r="C113" s="502">
        <f>(-0.5556*(C112^2)-0.2719*C112+8944)*(10^(-4))</f>
        <v>0.88737814999999998</v>
      </c>
      <c r="D113" s="502">
        <f>(-0.5556*(D112^2)-0.2719*D112+8944)*(10^(-4))</f>
        <v>0.88737814999999998</v>
      </c>
      <c r="E113" s="502">
        <f>(-0.7912*(E112^2)-11.3794*E112+8482)*(10^(-4))</f>
        <v>0.82610914000000002</v>
      </c>
      <c r="F113" s="502">
        <f t="shared" ref="F113:I113" si="35">(-0.7912*(F112^2)-11.3794*F112+8482)*(10^(-4))</f>
        <v>0.82610914000000002</v>
      </c>
      <c r="G113" s="502">
        <f t="shared" si="35"/>
        <v>0.82610914000000002</v>
      </c>
      <c r="H113" s="502">
        <f t="shared" si="35"/>
        <v>0.82610914000000002</v>
      </c>
      <c r="I113" s="502">
        <f t="shared" si="35"/>
        <v>0.82610914000000002</v>
      </c>
      <c r="J113" s="502">
        <f>(-0.989*(J112^2)-63.78*J112+7771)*(10^(-4))</f>
        <v>0.69497510000000007</v>
      </c>
      <c r="K113" s="502">
        <f t="shared" ref="K113:N113" si="36">(-0.989*(K112^2)-63.78*K112+7771)*(10^(-4))</f>
        <v>0.69497510000000007</v>
      </c>
      <c r="L113" s="502">
        <f t="shared" si="36"/>
        <v>0.69497510000000007</v>
      </c>
      <c r="M113" s="502">
        <f t="shared" si="36"/>
        <v>0.69497510000000007</v>
      </c>
      <c r="N113" s="502">
        <f t="shared" si="36"/>
        <v>0.69497510000000007</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6.15</v>
      </c>
      <c r="C117" s="2365" t="s">
        <v>2318</v>
      </c>
      <c r="D117" s="500">
        <f>SUMPRODUCT((A119:A123=F117)*(B118:M118=H117)*B119:M123)</f>
        <v>0.8629</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0.92920000000000003</v>
      </c>
      <c r="C119" s="502">
        <f>B119</f>
        <v>0.92920000000000003</v>
      </c>
      <c r="D119" s="502">
        <f>ROUND(0.949-0.014*B117,4)</f>
        <v>0.8629</v>
      </c>
      <c r="E119" s="502">
        <f>D119</f>
        <v>0.8629</v>
      </c>
      <c r="F119" s="502">
        <f>E119</f>
        <v>0.8629</v>
      </c>
      <c r="G119" s="502">
        <f>F119</f>
        <v>0.8629</v>
      </c>
      <c r="H119" s="502">
        <f>G119</f>
        <v>0.8629</v>
      </c>
      <c r="I119" s="502">
        <f>ROUND(0.8486-0.018*B117,4)</f>
        <v>0.7379</v>
      </c>
      <c r="J119" s="502">
        <f t="shared" ref="J119:M122" si="37">I119</f>
        <v>0.7379</v>
      </c>
      <c r="K119" s="502">
        <f t="shared" si="37"/>
        <v>0.7379</v>
      </c>
      <c r="L119" s="502">
        <f t="shared" si="37"/>
        <v>0.7379</v>
      </c>
      <c r="M119" s="504">
        <f t="shared" si="37"/>
        <v>0.7379</v>
      </c>
    </row>
    <row r="120" spans="1:14">
      <c r="A120" s="2413" t="s">
        <v>2230</v>
      </c>
      <c r="B120" s="502">
        <f>ROUND(0.993-0.0112*B117,4)</f>
        <v>0.92410000000000003</v>
      </c>
      <c r="C120" s="502">
        <f>B120</f>
        <v>0.92410000000000003</v>
      </c>
      <c r="D120" s="502">
        <f>ROUND(0.9415-0.0142*B117,4)</f>
        <v>0.85419999999999996</v>
      </c>
      <c r="E120" s="502">
        <f t="shared" ref="E120:H121" si="38">D120</f>
        <v>0.85419999999999996</v>
      </c>
      <c r="F120" s="502">
        <f t="shared" si="38"/>
        <v>0.85419999999999996</v>
      </c>
      <c r="G120" s="502">
        <f t="shared" si="38"/>
        <v>0.85419999999999996</v>
      </c>
      <c r="H120" s="502">
        <f t="shared" si="38"/>
        <v>0.85419999999999996</v>
      </c>
      <c r="I120" s="502">
        <f>ROUND(0.838-0.0182*B117,4)</f>
        <v>0.72609999999999997</v>
      </c>
      <c r="J120" s="502">
        <f t="shared" si="37"/>
        <v>0.72609999999999997</v>
      </c>
      <c r="K120" s="502">
        <f t="shared" si="37"/>
        <v>0.72609999999999997</v>
      </c>
      <c r="L120" s="502">
        <f t="shared" si="37"/>
        <v>0.72609999999999997</v>
      </c>
      <c r="M120" s="504">
        <f t="shared" si="37"/>
        <v>0.72609999999999997</v>
      </c>
    </row>
    <row r="121" spans="1:14">
      <c r="A121" s="2413" t="s">
        <v>2231</v>
      </c>
      <c r="B121" s="502">
        <f>ROUND(0.9448-0.0115*B117,4)</f>
        <v>0.87409999999999999</v>
      </c>
      <c r="C121" s="502">
        <f>B121</f>
        <v>0.87409999999999999</v>
      </c>
      <c r="D121" s="502">
        <f>ROUND(0.937-0.0145*B117,4)</f>
        <v>0.8478</v>
      </c>
      <c r="E121" s="502">
        <f t="shared" si="38"/>
        <v>0.8478</v>
      </c>
      <c r="F121" s="502">
        <f t="shared" si="38"/>
        <v>0.8478</v>
      </c>
      <c r="G121" s="502">
        <f t="shared" si="38"/>
        <v>0.8478</v>
      </c>
      <c r="H121" s="502">
        <f t="shared" si="38"/>
        <v>0.8478</v>
      </c>
      <c r="I121" s="502">
        <f>ROUND(0.7965-0.0185*B117,4)</f>
        <v>0.68269999999999997</v>
      </c>
      <c r="J121" s="502">
        <f t="shared" si="37"/>
        <v>0.68269999999999997</v>
      </c>
      <c r="K121" s="502">
        <f t="shared" si="37"/>
        <v>0.68269999999999997</v>
      </c>
      <c r="L121" s="502">
        <f t="shared" si="37"/>
        <v>0.68269999999999997</v>
      </c>
      <c r="M121" s="504">
        <f t="shared" si="37"/>
        <v>0.68269999999999997</v>
      </c>
    </row>
    <row r="122" spans="1:14" ht="13.5" thickBot="1">
      <c r="A122" s="2417" t="s">
        <v>2232</v>
      </c>
      <c r="B122" s="503">
        <f>ROUND(0.7836-0.012*B117,4)</f>
        <v>0.70979999999999999</v>
      </c>
      <c r="C122" s="503">
        <f>B122</f>
        <v>0.70979999999999999</v>
      </c>
      <c r="D122" s="503">
        <f>ROUND(0.753-0.015*B117,4)</f>
        <v>0.66080000000000005</v>
      </c>
      <c r="E122" s="503">
        <f>D122</f>
        <v>0.66080000000000005</v>
      </c>
      <c r="F122" s="503">
        <f>E122</f>
        <v>0.66080000000000005</v>
      </c>
      <c r="G122" s="503">
        <f>ROUND(0.6612-0.018*B117,4)</f>
        <v>0.55049999999999999</v>
      </c>
      <c r="H122" s="503">
        <f>G122</f>
        <v>0.55049999999999999</v>
      </c>
      <c r="I122" s="503">
        <f>ROUND(0.5905-0.019*B117,4)</f>
        <v>0.47370000000000001</v>
      </c>
      <c r="J122" s="503">
        <f t="shared" si="37"/>
        <v>0.47370000000000001</v>
      </c>
      <c r="K122" s="503">
        <f t="shared" si="37"/>
        <v>0.47370000000000001</v>
      </c>
      <c r="L122" s="503">
        <f t="shared" si="37"/>
        <v>0.47370000000000001</v>
      </c>
      <c r="M122" s="505">
        <f t="shared" si="37"/>
        <v>0.47370000000000001</v>
      </c>
    </row>
    <row r="123" spans="1:14">
      <c r="A123" s="2492" t="s">
        <v>2901</v>
      </c>
      <c r="B123" s="502">
        <f>ROUND(0.9404-0.0106*B117,4)</f>
        <v>0.87519999999999998</v>
      </c>
      <c r="C123" s="502">
        <f>B123</f>
        <v>0.87519999999999998</v>
      </c>
      <c r="D123" s="502">
        <f>ROUND(0.8955-0.0135*B117,4)</f>
        <v>0.8125</v>
      </c>
      <c r="E123" s="502">
        <f t="shared" ref="E123" si="39">D123</f>
        <v>0.8125</v>
      </c>
      <c r="F123" s="502">
        <f t="shared" ref="F123" si="40">E123</f>
        <v>0.8125</v>
      </c>
      <c r="G123" s="502">
        <f t="shared" ref="G123" si="41">F123</f>
        <v>0.8125</v>
      </c>
      <c r="H123" s="502">
        <f t="shared" ref="H123" si="42">G123</f>
        <v>0.8125</v>
      </c>
      <c r="I123" s="502">
        <f>ROUND(0.7632-0.0166*B117,4)</f>
        <v>0.66110000000000002</v>
      </c>
      <c r="J123" s="502">
        <f t="shared" ref="J123" si="43">I123</f>
        <v>0.66110000000000002</v>
      </c>
      <c r="K123" s="502">
        <f t="shared" ref="K123" si="44">J123</f>
        <v>0.66110000000000002</v>
      </c>
      <c r="L123" s="502">
        <f t="shared" ref="L123" si="45">K123</f>
        <v>0.66110000000000002</v>
      </c>
      <c r="M123" s="504">
        <f t="shared" ref="M123" si="46">L123</f>
        <v>0.66110000000000002</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0.86829999999999996</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0.82589999999999997</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284087</v>
      </c>
      <c r="C2" s="2543" t="s">
        <v>2332</v>
      </c>
      <c r="D2" s="2543" t="s">
        <v>2333</v>
      </c>
      <c r="E2" s="2544">
        <f ca="1">SUMIF(E6:E13,"&lt;&gt;#ref!",E6:E13)</f>
        <v>207366.83</v>
      </c>
      <c r="F2" s="2542"/>
      <c r="G2" s="2542"/>
      <c r="H2" s="2542"/>
      <c r="I2" s="2542"/>
      <c r="J2" s="2542"/>
      <c r="K2" s="2542"/>
      <c r="L2" s="2542"/>
      <c r="M2" s="2542"/>
      <c r="N2" s="2542"/>
      <c r="O2" s="2542"/>
      <c r="P2" s="2542"/>
    </row>
    <row r="3" spans="1:16" ht="15.75">
      <c r="A3" s="2543" t="s">
        <v>2334</v>
      </c>
      <c r="B3" s="1704">
        <f ca="1">ROUND(B2*10000/E2,0)</f>
        <v>13700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284087</v>
      </c>
      <c r="C6" s="2543" t="s">
        <v>2332</v>
      </c>
      <c r="D6" s="2542"/>
      <c r="E6" s="2544">
        <f ca="1">SUMIF(INDIRECT("'"&amp;A6&amp;"'"&amp;"!C:C"),"建筑面积",INDIRECT("'"&amp;A6&amp;"'"&amp;"!D:D"))</f>
        <v>207366.83</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44798</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2022-09-06T01:27:37Z</dcterms:modified>
</cp:coreProperties>
</file>