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2" i="43" l="1"/>
  <c r="U11" i="43"/>
  <c r="U10" i="43"/>
  <c r="U9" i="43"/>
  <c r="U8" i="43"/>
  <c r="U7" i="43"/>
  <c r="U6" i="43"/>
  <c r="U5" i="43"/>
  <c r="U4" i="43"/>
  <c r="U3" i="43"/>
  <c r="U2" i="43"/>
  <c r="D33" i="43"/>
  <c r="G52" i="43"/>
  <c r="G53" i="43"/>
  <c r="G54" i="43"/>
  <c r="G55" i="43"/>
  <c r="G56" i="43"/>
  <c r="G57" i="43"/>
  <c r="G58" i="43"/>
  <c r="G59" i="43"/>
  <c r="G51" i="43"/>
  <c r="I24" i="43"/>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C27"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D58" i="43" s="1"/>
  <c r="M57" i="43"/>
  <c r="N57" i="43" s="1"/>
  <c r="K57" i="43"/>
  <c r="J57" i="43" s="1"/>
  <c r="D57" i="43" s="1"/>
  <c r="M56" i="43"/>
  <c r="N56" i="43" s="1"/>
  <c r="K56" i="43"/>
  <c r="J56" i="43" s="1"/>
  <c r="D56" i="43" s="1"/>
  <c r="M55" i="43"/>
  <c r="N55" i="43" s="1"/>
  <c r="K55" i="43"/>
  <c r="J55" i="43" s="1"/>
  <c r="D55" i="43"/>
  <c r="M54" i="43"/>
  <c r="N54" i="43" s="1"/>
  <c r="K54" i="43"/>
  <c r="J54" i="43" s="1"/>
  <c r="M53" i="43"/>
  <c r="N53" i="43" s="1"/>
  <c r="K53" i="43"/>
  <c r="J53" i="43" s="1"/>
  <c r="D53" i="43"/>
  <c r="M52" i="43"/>
  <c r="N52" i="43" s="1"/>
  <c r="K52" i="43"/>
  <c r="J52" i="43" s="1"/>
  <c r="D52" i="43" s="1"/>
  <c r="M51" i="43"/>
  <c r="N51" i="43" s="1"/>
  <c r="K51" i="43"/>
  <c r="J51" i="43" s="1"/>
  <c r="D51" i="43" s="1"/>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M6" i="67"/>
  <c r="D2" i="36"/>
  <c r="F13" i="15"/>
  <c r="D34" i="9"/>
  <c r="AO12" i="1"/>
  <c r="E7" i="76"/>
  <c r="B11" i="76"/>
  <c r="M8" i="15"/>
  <c r="F13" i="67"/>
  <c r="C76" i="15"/>
  <c r="F42" i="15"/>
  <c r="E11" i="76"/>
  <c r="F40" i="67"/>
  <c r="AO11" i="1"/>
  <c r="F4" i="73"/>
  <c r="B9" i="76"/>
  <c r="M23" i="67"/>
  <c r="M22" i="15"/>
  <c r="E13" i="76"/>
  <c r="F5" i="73"/>
  <c r="E12" i="76"/>
  <c r="F6" i="67"/>
  <c r="B13" i="76"/>
  <c r="M27" i="15"/>
  <c r="F38" i="15"/>
  <c r="F16" i="15"/>
  <c r="D20" i="9"/>
  <c r="F7" i="67"/>
  <c r="F8" i="15"/>
  <c r="D7" i="73"/>
  <c r="F20" i="31"/>
  <c r="F38" i="67"/>
  <c r="M23" i="15"/>
  <c r="M8" i="67"/>
  <c r="F37" i="15"/>
  <c r="M6" i="15"/>
  <c r="J15" i="15"/>
  <c r="D5" i="73"/>
  <c r="E8" i="76"/>
  <c r="M29" i="15"/>
  <c r="AO10" i="1"/>
  <c r="F43" i="67"/>
  <c r="M28" i="15"/>
  <c r="AO13" i="1"/>
  <c r="F40" i="15"/>
  <c r="F41" i="15"/>
  <c r="D2" i="37"/>
  <c r="F3" i="73"/>
  <c r="AO7" i="1"/>
  <c r="M9" i="15"/>
  <c r="D2" i="34"/>
  <c r="L48" i="15"/>
  <c r="E51" i="43" l="1"/>
  <c r="B49" i="43" s="1"/>
  <c r="C28" i="43" s="1"/>
  <c r="D54" i="43"/>
  <c r="D26" i="43"/>
  <c r="C25" i="43" s="1"/>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15"/>
  <c r="C16" i="67"/>
  <c r="G1" i="73"/>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S7" i="33"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67"/>
  <c r="M21" i="15"/>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80" i="15" l="1"/>
  <c r="C79" i="15" s="1"/>
  <c r="L57" i="15"/>
  <c r="L60" i="15" s="1"/>
  <c r="Q66" i="15" s="1"/>
  <c r="Q67" i="15"/>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6" i="15" l="1"/>
  <c r="Q47" i="15"/>
  <c r="Q53" i="15" s="1"/>
  <c r="C46" i="15"/>
  <c r="B2" i="15"/>
  <c r="B3" i="15" s="1"/>
  <c r="Q65" i="15"/>
  <c r="Q75" i="15" s="1"/>
  <c r="C83" i="15"/>
  <c r="C82" i="15" s="1"/>
  <c r="C43" i="15"/>
  <c r="Q57" i="15"/>
  <c r="C52" i="68"/>
  <c r="B2" i="68" s="1"/>
  <c r="B3" i="68" s="1"/>
  <c r="Q75" i="67"/>
  <c r="B3" i="67"/>
  <c r="B2" i="67"/>
  <c r="C52" i="69"/>
  <c r="B2" i="69" s="1"/>
  <c r="B3" i="69" s="1"/>
  <c r="F7" i="37"/>
  <c r="AA7" i="37" s="1"/>
  <c r="R42" i="37" s="1"/>
  <c r="N63" i="40"/>
  <c r="M65" i="40"/>
  <c r="M70" i="39"/>
  <c r="N68" i="39"/>
  <c r="J7" i="37"/>
  <c r="H7" i="37"/>
  <c r="C14" i="71"/>
  <c r="D15" i="71"/>
  <c r="Q62" i="15" l="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E14" i="74"/>
  <c r="F14" i="74"/>
  <c r="H4" i="52"/>
  <c r="C104" i="9"/>
  <c r="C105" i="9"/>
  <c r="I4" i="52"/>
  <c r="N60" i="9"/>
  <c r="N61" i="9"/>
  <c r="D52" i="9"/>
  <c r="D53" i="9"/>
  <c r="D6" i="74"/>
  <c r="C6" i="74"/>
  <c r="C5" i="74"/>
  <c r="D14" i="74"/>
  <c r="B5" i="74"/>
  <c r="D5" i="74"/>
  <c r="N58" i="9"/>
  <c r="N59" i="9"/>
  <c r="P57" i="9"/>
  <c r="B6" i="74"/>
  <c r="M54" i="9"/>
  <c r="H119" i="9"/>
  <c r="H5" i="52"/>
  <c r="G14" i="74"/>
  <c r="D8" i="52"/>
  <c r="D56" i="9"/>
  <c r="D54" i="9"/>
  <c r="N57" i="9"/>
  <c r="C68" i="9"/>
  <c r="E81" i="9"/>
  <c r="B49" i="72"/>
  <c r="M48" i="9"/>
  <c r="B47" i="72"/>
  <c r="C93" i="9"/>
  <c r="C86" i="9"/>
  <c r="F4" i="52"/>
  <c r="B51" i="72"/>
  <c r="C81" i="9"/>
  <c r="D55" i="9"/>
  <c r="M53" i="9"/>
  <c r="D5" i="52"/>
  <c r="B30" i="72"/>
  <c r="B52" i="72"/>
  <c r="B20" i="72"/>
  <c r="D59" i="9"/>
  <c r="M55" i="9"/>
  <c r="D4" i="52"/>
  <c r="D119" i="9"/>
  <c r="D118" i="9"/>
  <c r="C96" i="9"/>
  <c r="E96" i="9"/>
  <c r="E97" i="9"/>
  <c r="B53" i="72"/>
  <c r="D5" i="53"/>
  <c r="D6" i="53"/>
  <c r="B22" i="72"/>
  <c r="G4" i="52"/>
  <c r="G118" i="9"/>
  <c r="F118" i="9"/>
  <c r="F119" i="9"/>
  <c r="F5" i="52"/>
  <c r="C97" i="9"/>
  <c r="D58" i="9"/>
  <c r="C85" i="9"/>
  <c r="C95" i="9"/>
  <c r="C72" i="9"/>
  <c r="C79" i="9"/>
  <c r="C80" i="9"/>
  <c r="E80" i="9"/>
  <c r="D122" i="9"/>
  <c r="D123" i="9"/>
  <c r="D9" i="52"/>
  <c r="C78" i="9"/>
  <c r="C73" i="9"/>
  <c r="H108" i="9"/>
  <c r="D15" i="53"/>
  <c r="B31" i="72"/>
  <c r="E118" i="9"/>
  <c r="E4" i="52"/>
  <c r="B48" i="72"/>
  <c r="H107" i="9"/>
  <c r="D13" i="53"/>
  <c r="D14" i="53"/>
  <c r="B32" i="72"/>
  <c r="H102" i="9"/>
  <c r="D7" i="53"/>
  <c r="B21" i="72"/>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<sst xmlns="http://schemas.openxmlformats.org/spreadsheetml/2006/main" count="7725" uniqueCount="3109">
  <si>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</si>
  <si>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</si>
  <si>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</si>
  <si>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</si>
  <si>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</si>
  <si>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</si>
  <si>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</si>
  <si>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</si>
  <si>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</si>
  <si>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</si>
  <si>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</si>
  <si>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</si>
  <si>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</si>
  <si>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</si>
  <si>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</si>
  <si>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</si>
  <si>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</si>
  <si>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</si>
  <si>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</si>
  <si>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</si>
  <si>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</si>
  <si>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</si>
  <si>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</si>
  <si>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</si>
  <si>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</si>
  <si>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</si>
  <si>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</si>
  <si>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</si>
  <si>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</si>
  <si>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</si>
  <si>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</si>
  <si>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</si>
  <si>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</si>
  <si>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</si>
  <si>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</si>
  <si>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</si>
  <si>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</si>
  <si>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</si>
  <si>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</si>
  <si>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</si>
  <si>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</si>
  <si>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</si>
  <si>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</si>
  <si>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</si>
  <si>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</si>
  <si>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</si>
  <si>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</si>
  <si>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</si>
  <si>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</si>
  <si>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</si>
  <si>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</si>
  <si>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</si>
  <si>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</si>
  <si>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</si>
  <si>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</si>
  <si>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</si>
  <si>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</si>
  <si>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</si>
  <si>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</si>
  <si>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</si>
  <si>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</si>
  <si>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</si>
  <si>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</si>
  <si>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</si>
  <si>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</si>
  <si>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</si>
  <si>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</si>
  <si>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</si>
  <si>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</si>
  <si>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</si>
  <si>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</si>
  <si>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</si>
  <si>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</si>
  <si>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</si>
  <si>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</si>
  <si>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</si>
  <si>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</si>
  <si>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</si>
  <si>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</si>
  <si>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</si>
  <si>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</si>
  <si>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</si>
  <si>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</si>
  <si>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</si>
  <si>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</si>
  <si>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</si>
  <si>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</si>
  <si>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</si>
  <si>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</si>
  <si>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</si>
  <si>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</si>
  <si>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</si>
  <si>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</si>
  <si>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</si>
  <si>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</si>
  <si>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</si>
  <si>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</si>
  <si>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</si>
  <si>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</si>
  <si>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</si>
  <si>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</si>
  <si>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</si>
  <si>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</si>
  <si>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</si>
  <si>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</si>
  <si>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</si>
  <si>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</si>
  <si>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</si>
  <si>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</si>
  <si>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</si>
  <si>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</si>
  <si>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</si>
  <si>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</si>
  <si>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</si>
  <si>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</si>
  <si>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</si>
  <si>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</si>
  <si>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</si>
  <si>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</si>
  <si>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</si>
  <si>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</si>
  <si>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</si>
  <si>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</si>
  <si>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</si>
  <si>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</si>
  <si>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</si>
  <si>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</si>
  <si>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</si>
  <si>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</si>
  <si>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</si>
  <si>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</si>
  <si>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</si>
  <si>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</si>
  <si>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</si>
  <si>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</si>
  <si>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</si>
  <si>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</si>
  <si>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</si>
  <si>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</si>
  <si>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</si>
  <si>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</si>
  <si>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</si>
  <si>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</si>
  <si>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</si>
  <si>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</si>
  <si>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</si>
  <si>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</si>
  <si>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</si>
  <si>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</si>
  <si>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</si>
  <si>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</si>
  <si>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</si>
  <si>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</si>
  <si>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</si>
  <si>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</si>
  <si>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</si>
  <si>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</si>
  <si>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</si>
  <si>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</si>
  <si>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</si>
  <si>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</si>
  <si>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</si>
  <si>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</si>
  <si>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</si>
  <si>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</si>
  <si>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</si>
  <si>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</si>
  <si>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</si>
  <si>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</si>
  <si>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</si>
  <si>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</si>
  <si>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</si>
  <si>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</si>
  <si>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</si>
  <si>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</si>
  <si>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</si>
  <si>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</si>
  <si>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</si>
  <si>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</si>
  <si>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</si>
  <si>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</si>
  <si>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</si>
  <si>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</si>
  <si>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</si>
  <si>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</si>
  <si>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</si>
  <si>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</si>
  <si>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</si>
  <si>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</si>
  <si>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</si>
  <si>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</si>
  <si>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</si>
  <si>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</si>
  <si>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</si>
  <si>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</si>
  <si>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</si>
  <si>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</si>
  <si>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</si>
  <si>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</si>
  <si>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</si>
  <si>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</si>
  <si>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</si>
  <si>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</si>
  <si>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</si>
  <si>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</si>
  <si>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</si>
  <si>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</si>
  <si>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</si>
  <si>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</si>
  <si>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</si>
  <si>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</si>
  <si>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</si>
  <si>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</si>
  <si>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</si>
  <si>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</si>
  <si>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</si>
  <si>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</si>
  <si>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</si>
  <si>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</si>
  <si>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</si>
  <si>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</si>
  <si>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</si>
  <si>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</si>
  <si>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</si>
  <si>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</si>
  <si>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</si>
  <si>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</si>
  <si>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</si>
  <si>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</si>
  <si>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</si>
  <si>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</si>
  <si>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</si>
  <si>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</si>
  <si>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</si>
  <si>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</si>
  <si>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</si>
  <si>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</si>
  <si>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</si>
  <si>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</si>
  <si>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</si>
  <si>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</si>
  <si>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</si>
  <si>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</si>
  <si>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</si>
  <si>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</si>
  <si>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</si>
  <si>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</si>
  <si>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</si>
  <si>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</si>
  <si>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</si>
  <si>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</si>
  <si>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</si>
  <si>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</si>
  <si>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</si>
  <si>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</si>
  <si>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</si>
  <si>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</si>
  <si>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</si>
  <si>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</si>
  <si>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</si>
  <si>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</si>
  <si>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</si>
  <si>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</si>
  <si>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</si>
  <si>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</si>
  <si>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</si>
  <si>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</si>
  <si>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</si>
  <si>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</si>
  <si>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</si>
  <si>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</si>
  <si>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</si>
  <si>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</si>
  <si>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</si>
  <si>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</si>
  <si>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</si>
  <si>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</si>
  <si>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</si>
  <si>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</si>
  <si>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</si>
  <si>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</si>
  <si>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</si>
  <si>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</si>
  <si>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</si>
  <si>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</si>
  <si>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</si>
  <si>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</si>
  <si>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</si>
  <si>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</si>
  <si>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</si>
  <si>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</si>
  <si>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</si>
  <si>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</si>
  <si>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</si>
  <si>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</si>
  <si>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</si>
  <si>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</si>
  <si>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</si>
  <si>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</si>
  <si>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</si>
  <si>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</si>
  <si>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</si>
  <si>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</si>
  <si>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</si>
  <si>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</si>
  <si>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</si>
  <si>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</si>
  <si>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</si>
  <si>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</si>
  <si>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</si>
  <si>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</si>
  <si>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</si>
  <si>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</si>
  <si>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</si>
  <si>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</si>
  <si>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</si>
  <si>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</si>
  <si>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</si>
  <si>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</si>
  <si>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</si>
  <si>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</si>
  <si>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</si>
  <si>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</si>
  <si>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</si>
  <si>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</si>
  <si>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</si>
  <si>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</si>
  <si>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</si>
  <si>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</si>
  <si>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</si>
  <si>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</si>
  <si>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</si>
  <si>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</si>
  <si>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</si>
  <si>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</si>
  <si>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</si>
  <si>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</si>
  <si>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</si>
  <si>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</si>
  <si>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</si>
  <si>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</si>
  <si>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</si>
  <si>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</si>
  <si>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</si>
  <si>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</si>
  <si>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</si>
  <si>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</si>
  <si>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</si>
  <si>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</si>
  <si>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</si>
  <si>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</si>
  <si>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</si>
  <si>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</si>
  <si>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</si>
  <si>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</si>
  <si>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</si>
  <si>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</si>
  <si>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</si>
  <si>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</si>
  <si>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</si>
  <si>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</si>
  <si>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</si>
  <si>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</si>
  <si>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</si>
  <si>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</si>
  <si>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</si>
  <si>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</si>
  <si>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</si>
  <si>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</si>
  <si>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</si>
  <si>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</si>
  <si>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</si>
  <si>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</si>
  <si>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</si>
  <si>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</si>
  <si>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</si>
  <si>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</si>
  <si>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</si>
  <si>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</si>
  <si>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</si>
  <si>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</si>
  <si>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</si>
  <si>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</si>
  <si>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</si>
  <si>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</si>
  <si>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</si>
  <si>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</si>
  <si>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</si>
  <si>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</si>
  <si>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</si>
  <si>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</si>
  <si>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</si>
  <si>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</si>
  <si>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</si>
  <si>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</si>
  <si>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</si>
  <si>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</si>
  <si>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</si>
  <si>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</si>
  <si>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</si>
  <si>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</si>
  <si>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</si>
  <si>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</si>
  <si>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</si>
  <si>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</si>
  <si>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</si>
  <si>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</si>
  <si>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</si>
  <si>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</si>
  <si>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</si>
  <si>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</si>
  <si>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</si>
  <si>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</si>
  <si>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</si>
  <si>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</si>
  <si>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</si>
  <si>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</si>
  <si>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</si>
  <si>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</si>
  <si>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</si>
  <si>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</si>
  <si>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</si>
  <si>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</si>
  <si>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</si>
  <si>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</si>
  <si>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</si>
  <si>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</si>
  <si>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</si>
  <si>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</si>
  <si>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</si>
  <si>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</si>
  <si>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</si>
  <si>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</si>
  <si>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</si>
  <si>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</si>
  <si>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</si>
  <si>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</si>
  <si>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</si>
  <si>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</si>
  <si>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</si>
  <si>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</si>
  <si>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</si>
  <si>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</si>
  <si>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</si>
  <si>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</si>
  <si>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</si>
  <si>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</si>
  <si>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</si>
  <si>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</si>
  <si>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</si>
  <si>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</si>
  <si>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</si>
  <si>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</si>
  <si>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</si>
  <si>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</si>
  <si>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</si>
  <si>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</si>
  <si>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</si>
  <si>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</si>
  <si>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</si>
  <si>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</si>
  <si>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</si>
  <si>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</si>
  <si>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</si>
  <si>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</si>
  <si>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</si>
  <si>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</si>
  <si>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</si>
  <si>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</si>
  <si>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</si>
  <si>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</si>
  <si>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</si>
  <si>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</si>
  <si>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</si>
  <si>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</si>
  <si>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</si>
  <si>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</si>
  <si>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</si>
  <si>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</si>
  <si>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</si>
  <si>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</si>
  <si>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</si>
  <si>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</si>
  <si>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</si>
  <si>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</si>
  <si>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</si>
  <si>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</si>
  <si>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</si>
  <si>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</si>
  <si>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</si>
  <si>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</si>
  <si>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</si>
  <si>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</si>
  <si>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</si>
  <si>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</si>
  <si>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</si>
  <si>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</si>
  <si>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</si>
  <si>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</si>
  <si>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</si>
  <si>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</si>
  <si>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</si>
  <si>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</si>
  <si>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</si>
  <si>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</si>
  <si>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</si>
  <si>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</si>
  <si>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</si>
  <si>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</si>
  <si>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</si>
  <si>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</si>
  <si>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</si>
  <si>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</si>
  <si>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</si>
  <si>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</si>
  <si>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</si>
  <si>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</si>
  <si>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</si>
  <si>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</si>
  <si>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</si>
  <si>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</si>
  <si>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</si>
  <si>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</si>
  <si>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</si>
  <si>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</si>
  <si>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</si>
  <si>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</si>
  <si>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</si>
  <si>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</si>
  <si>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</si>
  <si>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</si>
  <si>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</si>
  <si>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</si>
  <si>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</si>
  <si>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</si>
  <si>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</si>
  <si>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</si>
  <si>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</si>
  <si>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</si>
  <si>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</si>
  <si>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</si>
  <si>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</si>
  <si>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</si>
  <si>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</si>
  <si>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</si>
  <si>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</si>
  <si>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</si>
  <si>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</si>
  <si>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</si>
  <si>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</si>
  <si>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</si>
  <si>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</si>
  <si>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</si>
  <si>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</si>
  <si>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</si>
  <si>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</si>
  <si>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</si>
  <si>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</si>
  <si>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</si>
  <si>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</si>
  <si>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</si>
  <si>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</si>
  <si>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</si>
  <si>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</si>
  <si>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</si>
  <si>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</si>
  <si>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</si>
  <si>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</si>
  <si>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</si>
  <si>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</si>
  <si>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</si>
  <si>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</si>
  <si>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</si>
  <si>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</si>
  <si>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</si>
  <si>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</si>
  <si>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</si>
  <si>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</si>
  <si>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</si>
  <si>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</si>
  <si>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</si>
  <si>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</si>
  <si>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</si>
  <si>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</si>
  <si>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</si>
  <si>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</si>
  <si>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</si>
  <si>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</si>
  <si>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</si>
  <si>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</si>
  <si>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</si>
  <si>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</si>
  <si>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</si>
  <si>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</si>
  <si>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</si>
  <si>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</si>
  <si>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</si>
  <si>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</si>
  <si>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</si>
  <si>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</si>
  <si>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</si>
  <si>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</si>
  <si>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</si>
  <si>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</si>
  <si>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</si>
  <si>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</si>
  <si>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</si>
  <si>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</si>
  <si>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</si>
  <si>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</si>
  <si>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</si>
  <si>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</si>
  <si>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</si>
  <si>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</si>
  <si>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</si>
  <si>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</si>
  <si>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</si>
  <si>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</si>
  <si>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</si>
  <si>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</si>
  <si>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</si>
  <si>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</si>
  <si>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</si>
  <si>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</si>
  <si>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</si>
  <si>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</si>
  <si>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</si>
  <si>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</si>
  <si>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</si>
  <si>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</si>
  <si>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</si>
  <si>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</si>
  <si>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</si>
  <si>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</si>
  <si>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</si>
  <si>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</si>
  <si>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</si>
  <si>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</si>
  <si>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</si>
  <si>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</si>
  <si>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</si>
  <si>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</si>
  <si>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</si>
  <si>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</si>
  <si>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</si>
  <si>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</si>
  <si>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</si>
  <si>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</si>
  <si>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</si>
  <si>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</si>
  <si>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</si>
  <si>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</si>
  <si>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</si>
  <si>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</si>
  <si>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</si>
  <si>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</si>
  <si>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</si>
  <si>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</si>
  <si>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</si>
  <si>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</si>
  <si>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</si>
  <si>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</si>
  <si>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</si>
  <si>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</si>
  <si>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</si>
  <si>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</si>
  <si>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</si>
  <si>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</si>
  <si>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</si>
  <si>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</si>
  <si>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</si>
  <si>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</si>
  <si>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</si>
  <si>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</si>
  <si>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</si>
  <si>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</si>
  <si>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</si>
  <si>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</si>
  <si>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</si>
  <si>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</si>
  <si>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</si>
  <si>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</si>
  <si>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</si>
  <si>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</si>
  <si>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</si>
  <si>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</si>
  <si>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</si>
  <si>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</si>
  <si>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</si>
  <si>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</si>
  <si>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</si>
  <si>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</si>
  <si>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</si>
  <si>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</si>
  <si>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</si>
  <si>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</si>
  <si>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</si>
  <si>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</si>
  <si>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</si>
  <si>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</si>
  <si>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</si>
  <si>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</si>
  <si>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</si>
  <si>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</si>
  <si>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</si>
  <si>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</si>
  <si>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</si>
  <si>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</si>
  <si>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</si>
  <si>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</si>
  <si>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</si>
  <si>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</si>
  <si>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</si>
  <si>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</si>
  <si>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</si>
  <si>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</si>
  <si>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</si>
  <si>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</si>
  <si>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</si>
  <si>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</si>
  <si>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</si>
  <si>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</si>
  <si>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</si>
  <si>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</si>
  <si>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</si>
  <si>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</si>
  <si>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</si>
  <si>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</si>
  <si>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</si>
  <si>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</si>
  <si>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</si>
  <si>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</si>
  <si>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</si>
  <si>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</si>
  <si>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</si>
  <si>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</si>
  <si>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</si>
  <si>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</si>
  <si>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</si>
  <si>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</si>
  <si>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</si>
  <si>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</si>
  <si>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</si>
  <si>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</si>
  <si>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</si>
  <si>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</si>
  <si>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</si>
  <si>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</si>
  <si>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</si>
  <si>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</si>
  <si>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</si>
  <si>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</si>
  <si>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</si>
  <si>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</si>
  <si>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</si>
  <si>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</si>
  <si>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</si>
  <si>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</si>
  <si>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</si>
  <si>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</si>
  <si>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</si>
  <si>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</si>
  <si>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</si>
  <si>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</si>
  <si>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</si>
  <si>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</si>
  <si>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</si>
  <si>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</si>
  <si>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</si>
  <si>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</si>
  <si>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</si>
  <si>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</si>
  <si>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</si>
  <si>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</si>
  <si>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</si>
  <si>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</si>
  <si>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</si>
  <si>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</si>
  <si>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</si>
  <si>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</si>
  <si>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</si>
  <si>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</si>
  <si>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</si>
  <si>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</si>
  <si>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</si>
  <si>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</si>
  <si>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</si>
  <si>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</si>
  <si>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</si>
  <si>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</si>
  <si>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</si>
  <si>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</si>
  <si>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</si>
  <si>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</si>
  <si>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</si>
  <si>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</si>
  <si>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</si>
  <si>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</si>
  <si>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</si>
  <si>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</si>
  <si>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</si>
  <si>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</si>
  <si>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</si>
  <si>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</si>
  <si>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</si>
  <si>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</si>
  <si>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</si>
  <si>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</si>
  <si>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</si>
  <si>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</si>
  <si>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</si>
  <si>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</si>
  <si>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</si>
  <si>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</si>
  <si>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</si>
  <si>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</si>
  <si>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</si>
  <si>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</si>
  <si>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</si>
  <si>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</si>
  <si>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</si>
  <si>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</si>
  <si>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</si>
  <si>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</si>
  <si>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</si>
  <si>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</si>
  <si>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</si>
  <si>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</si>
  <si>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</si>
  <si>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</si>
  <si>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</si>
  <si>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</si>
  <si>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</si>
  <si>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</si>
  <si>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</si>
  <si>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</si>
  <si>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</si>
  <si>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</si>
  <si>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</si>
  <si>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</si>
  <si>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</si>
  <si>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</si>
  <si>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</si>
  <si>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</si>
  <si>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</si>
  <si>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</si>
  <si>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</si>
  <si>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</si>
  <si>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</si>
  <si>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</si>
  <si>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</si>
  <si>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</si>
  <si>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</si>
  <si>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</si>
  <si>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</si>
  <si>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</si>
  <si>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</si>
  <si>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</si>
  <si>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</si>
  <si>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</si>
  <si>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</si>
  <si>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</si>
  <si>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</si>
  <si>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</si>
  <si>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</si>
  <si>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</si>
  <si>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</si>
  <si>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</si>
  <si>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</si>
  <si>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</si>
  <si>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</si>
  <si>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</si>
  <si>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</si>
  <si>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</si>
  <si>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</si>
  <si>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</si>
  <si>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</si>
  <si>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</si>
  <si>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</si>
  <si>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</si>
  <si>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</si>
  <si>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</si>
  <si>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</si>
  <si>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</si>
  <si>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</si>
  <si>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</si>
  <si>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</si>
  <si>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</si>
  <si>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</si>
  <si>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</si>
  <si>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</si>
  <si>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</si>
  <si>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</si>
  <si>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</si>
  <si>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</si>
  <si>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</si>
  <si>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</si>
  <si>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</si>
  <si>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</si>
  <si>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</si>
  <si>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</si>
  <si>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</si>
  <si>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</si>
  <si>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</si>
  <si>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</si>
  <si>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</si>
  <si>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</si>
  <si>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</si>
  <si>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</si>
  <si>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</si>
  <si>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</si>
  <si>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</si>
  <si>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</si>
  <si>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</si>
  <si>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</si>
  <si>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</si>
  <si>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</si>
  <si>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</si>
  <si>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</si>
  <si>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</si>
  <si>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</si>
  <si>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</si>
  <si>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</si>
  <si>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</si>
  <si>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</si>
  <si>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</si>
  <si>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</si>
  <si>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</si>
  <si>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</si>
  <si>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</si>
  <si>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</si>
  <si>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</si>
  <si>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</si>
  <si>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</si>
  <si>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</si>
  <si>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</si>
  <si>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</si>
  <si>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</si>
  <si>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</si>
  <si>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</si>
  <si>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</si>
  <si>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</si>
  <si>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</si>
  <si>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</si>
  <si>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</si>
  <si>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</si>
  <si>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</si>
  <si>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</si>
  <si>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</si>
  <si>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</si>
  <si>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</si>
  <si>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</si>
  <si>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</si>
  <si>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</si>
  <si>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</si>
  <si>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</si>
  <si>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</si>
  <si>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</si>
  <si>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</si>
  <si>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</si>
  <si>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</si>
  <si>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</si>
  <si>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</si>
  <si>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</si>
  <si>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</si>
  <si>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</si>
  <si>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</si>
  <si>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</si>
  <si>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</si>
  <si>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</si>
  <si>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</si>
  <si>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</si>
  <si>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</si>
  <si>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</si>
  <si>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</si>
  <si>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</si>
  <si>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</si>
  <si>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</si>
  <si>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</si>
  <si>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</si>
  <si>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</si>
  <si>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</si>
  <si>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</si>
  <si>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</si>
  <si>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</si>
  <si>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</si>
  <si>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</si>
  <si>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</si>
  <si>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</si>
  <si>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</si>
  <si>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</si>
  <si>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</si>
  <si>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</si>
  <si>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</si>
  <si>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</si>
  <si>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</si>
  <si>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</si>
  <si>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</si>
  <si>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</si>
  <si>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</si>
  <si>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</si>
  <si>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</si>
  <si>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</si>
  <si>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</si>
  <si>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</si>
  <si>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</si>
  <si>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</si>
  <si>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</si>
  <si>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</si>
  <si>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</si>
  <si>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</si>
  <si>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</si>
  <si>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</si>
  <si>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</si>
  <si>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</si>
  <si>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</si>
  <si>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</si>
  <si>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</si>
  <si>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</si>
  <si>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</si>
  <si>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</si>
  <si>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</si>
  <si>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</si>
  <si>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</si>
  <si>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</si>
  <si>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</si>
  <si>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</si>
  <si>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</si>
  <si>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</si>
  <si>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</si>
  <si>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</si>
  <si>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</si>
  <si>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</si>
  <si>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</si>
  <si>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</si>
  <si>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</si>
  <si>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</si>
  <si>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</si>
  <si>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</si>
  <si>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</si>
  <si>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</si>
  <si>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</si>
  <si>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</si>
  <si>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</si>
  <si>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</si>
  <si>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</si>
  <si>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</si>
  <si>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</si>
  <si>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</si>
  <si>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</si>
  <si>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</si>
  <si>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</si>
  <si>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</si>
  <si>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</si>
  <si>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</si>
  <si>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</si>
  <si>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</si>
  <si>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</si>
  <si>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</si>
  <si>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</si>
  <si>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</si>
  <si>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</si>
  <si>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</si>
  <si>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</si>
  <si>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</si>
  <si>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</si>
  <si>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</si>
  <si>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</si>
  <si>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</si>
  <si>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</si>
  <si>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</si>
  <si>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</si>
  <si>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</si>
  <si>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</si>
  <si>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</si>
  <si>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</si>
  <si>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</si>
  <si>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</si>
  <si>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</si>
  <si>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</si>
  <si>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</si>
  <si>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</si>
  <si>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</si>
  <si>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</si>
  <si>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</si>
  <si>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</si>
  <si>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</si>
  <si>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</si>
  <si>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</si>
  <si>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</si>
  <si>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</si>
  <si>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</si>
  <si>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</si>
  <si>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</si>
  <si>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</si>
  <si>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</si>
  <si>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</si>
  <si>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</si>
  <si>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</si>
  <si>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</si>
  <si>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</si>
  <si>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</si>
  <si>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</si>
  <si>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</si>
  <si>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</si>
  <si>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</si>
  <si>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</si>
  <si>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</si>
  <si>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</si>
  <si>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</si>
  <si>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</si>
  <si>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</si>
  <si>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</si>
  <si>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</si>
  <si>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</si>
  <si>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</si>
  <si>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</si>
  <si>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</si>
  <si>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</si>
  <si>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</si>
  <si>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</si>
  <si>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</si>
  <si>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</si>
  <si>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</si>
  <si>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</si>
  <si>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</si>
  <si>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</si>
  <si>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</si>
  <si>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</si>
  <si>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</si>
  <si>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</si>
  <si>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</si>
  <si>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</si>
  <si>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</si>
  <si>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</si>
  <si>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</si>
  <si>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</si>
  <si>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</si>
  <si>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</si>
  <si>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</si>
  <si>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</si>
  <si>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</si>
  <si>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</si>
  <si>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</si>
  <si>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</si>
  <si>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</si>
  <si>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</si>
  <si>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</si>
  <si>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</si>
  <si>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</si>
  <si>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</si>
  <si>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</si>
  <si>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</si>
  <si>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</si>
  <si>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</si>
  <si>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</si>
  <si>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</si>
  <si>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</si>
  <si>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</si>
  <si>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</si>
  <si>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</si>
  <si>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</si>
  <si>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</si>
  <si>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</si>
  <si>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</si>
  <si>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</si>
  <si>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</si>
  <si>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</si>
  <si>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</si>
  <si>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</si>
  <si>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</si>
  <si>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</si>
  <si>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</si>
  <si>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</si>
  <si>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</si>
  <si>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</si>
  <si>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</si>
  <si>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</si>
  <si>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</si>
  <si>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</si>
  <si>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</si>
  <si>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</si>
  <si>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</si>
  <si>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</si>
  <si>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</si>
  <si>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</si>
  <si>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</si>
  <si>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</si>
  <si>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</si>
  <si>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</si>
  <si>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</si>
  <si>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</si>
  <si>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</si>
  <si>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</si>
  <si>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</si>
  <si>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</si>
  <si>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</si>
  <si>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</si>
  <si>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</si>
  <si>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</si>
  <si>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</si>
  <si>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</si>
  <si>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</si>
  <si>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</si>
  <si>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</si>
  <si>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</si>
  <si>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</si>
  <si>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</si>
  <si>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</si>
  <si>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</si>
  <si>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</si>
  <si>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</si>
  <si>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</si>
  <si>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</si>
  <si>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</si>
  <si>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</si>
  <si>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</si>
  <si>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</si>
  <si>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</si>
  <si>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</si>
  <si>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</si>
  <si>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</si>
  <si>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</si>
  <si>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</si>
  <si>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</si>
  <si>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</si>
  <si>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</si>
  <si>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</si>
  <si>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</si>
  <si>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</si>
  <si>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</si>
  <si>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</si>
  <si>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</si>
  <si>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</si>
  <si>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</si>
  <si>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</si>
  <si>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</si>
  <si>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</si>
  <si>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</si>
  <si>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</si>
  <si>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</si>
  <si>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</si>
  <si>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</si>
  <si>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</si>
  <si>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</si>
  <si>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</si>
  <si>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</si>
  <si>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</si>
  <si>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</si>
  <si>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</si>
  <si>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</si>
  <si>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</si>
  <si>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</si>
  <si>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</si>
  <si>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</si>
  <si>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</si>
  <si>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</si>
  <si>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</si>
  <si>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</si>
  <si>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</si>
  <si>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</si>
  <si>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</si>
  <si>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</si>
  <si>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</si>
  <si>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</si>
  <si>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</si>
  <si>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</si>
  <si>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</si>
  <si>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</si>
  <si>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</si>
  <si>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</si>
  <si>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</si>
  <si>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</si>
  <si>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</si>
  <si>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</si>
  <si>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</si>
  <si>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</si>
  <si>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</si>
  <si>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</si>
  <si>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</si>
  <si>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</si>
  <si>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</si>
  <si>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</si>
  <si>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</si>
  <si>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</si>
  <si>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</si>
  <si>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</si>
  <si>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</si>
  <si>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</si>
  <si>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</si>
  <si>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</si>
  <si>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</si>
  <si>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</si>
  <si>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</si>
  <si>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</si>
  <si>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</si>
  <si>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</si>
  <si>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</si>
  <si>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</si>
  <si>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</si>
  <si>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</si>
  <si>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</si>
  <si>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</si>
  <si>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</si>
  <si>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</si>
  <si>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</si>
  <si>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</si>
  <si>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</si>
  <si>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</si>
  <si>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</si>
  <si>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</si>
  <si>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</si>
  <si>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</si>
  <si>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</si>
  <si>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</si>
  <si>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</si>
  <si>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</si>
  <si>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</si>
  <si>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</si>
  <si>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</si>
  <si>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</si>
  <si>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</si>
  <si>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</si>
  <si>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</si>
  <si>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</si>
  <si>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</si>
  <si>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</si>
  <si>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</si>
  <si>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</si>
  <si>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</si>
  <si>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</si>
  <si>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</si>
  <si>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</si>
  <si>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</si>
  <si>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</si>
  <si>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</si>
  <si>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</si>
  <si>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</si>
  <si>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</si>
  <si>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</si>
  <si>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</si>
  <si>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</si>
  <si>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</si>
  <si>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</si>
  <si>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</si>
  <si>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</si>
  <si>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</si>
  <si>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</si>
  <si>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</si>
  <si>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</si>
  <si>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</si>
  <si>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</si>
  <si>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</si>
  <si>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</si>
  <si>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</si>
  <si>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</si>
  <si>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</si>
  <si>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</si>
  <si>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</si>
  <si>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</si>
  <si>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</si>
  <si>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</si>
  <si>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</si>
  <si>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</si>
  <si>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</si>
  <si>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</si>
  <si>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</si>
  <si>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</si>
  <si>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</si>
  <si>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</si>
  <si>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</si>
  <si>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</si>
  <si>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</si>
  <si>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</si>
  <si>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</si>
  <si>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</si>
  <si>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</si>
  <si>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</si>
  <si>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</si>
  <si>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</si>
  <si>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</si>
  <si>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</si>
  <si>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</si>
  <si>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</si>
  <si>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</si>
  <si>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</si>
  <si>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</si>
  <si>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</si>
  <si>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</si>
  <si>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</si>
  <si>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</si>
  <si>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</si>
  <si>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</si>
  <si>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</si>
  <si>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</si>
  <si>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</si>
  <si>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</si>
  <si>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</si>
  <si>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</si>
  <si>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</si>
  <si>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</si>
  <si>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</si>
  <si>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</si>
  <si>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</si>
  <si>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</si>
  <si>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</si>
  <si>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</si>
  <si>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</si>
  <si>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</si>
  <si>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</si>
  <si>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</si>
  <si>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</si>
  <si>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</si>
  <si>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</si>
  <si>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</si>
  <si>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</si>
  <si>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</si>
  <si>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</si>
  <si>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</si>
  <si>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</si>
  <si>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</si>
  <si>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</si>
  <si>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</si>
  <si>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</si>
  <si>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</si>
  <si>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</si>
  <si>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</si>
  <si>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</si>
  <si>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</si>
  <si>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</si>
  <si>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</si>
  <si>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</si>
  <si>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</si>
  <si>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</si>
  <si>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</si>
  <si>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</si>
  <si>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</si>
  <si>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</si>
  <si>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</si>
  <si>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</si>
  <si>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</si>
  <si>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</si>
  <si>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</si>
  <si>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</si>
  <si>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</si>
  <si>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</si>
  <si>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</si>
  <si>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</si>
  <si>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</si>
  <si>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</si>
  <si>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</si>
  <si>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</si>
  <si>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</si>
  <si>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</si>
  <si>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</si>
  <si>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</si>
  <si>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</si>
  <si>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</si>
  <si>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</si>
  <si>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</si>
  <si>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</si>
  <si>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</si>
  <si>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</si>
  <si>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</si>
  <si>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</si>
  <si>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</si>
  <si>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</si>
  <si>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</si>
  <si>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</si>
  <si>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</si>
  <si>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</si>
  <si>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</si>
  <si>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</si>
  <si>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</si>
  <si>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</si>
  <si>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</si>
  <si>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</si>
  <si>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</si>
  <si>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</si>
  <si>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</si>
  <si>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</si>
  <si>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</si>
  <si>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</si>
  <si>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</si>
  <si>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</si>
  <si>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</si>
  <si>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</si>
  <si>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</si>
  <si>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</si>
  <si>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</si>
  <si>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</si>
  <si>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</si>
  <si>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</si>
  <si>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</si>
  <si>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</si>
  <si>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</si>
  <si>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</si>
  <si>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</si>
  <si>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</si>
  <si>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</si>
  <si>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</si>
  <si>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</si>
  <si>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</si>
  <si>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</si>
  <si>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</si>
  <si>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</si>
  <si>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</si>
  <si>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</si>
  <si>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</si>
  <si>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</si>
  <si>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</si>
  <si>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</si>
  <si>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</si>
  <si>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</si>
  <si>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</si>
  <si>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</si>
  <si>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</si>
  <si>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</si>
  <si>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</si>
  <si>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</si>
  <si>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</si>
  <si>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</si>
  <si>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</si>
  <si>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</si>
  <si>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</si>
  <si>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</si>
  <si>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</si>
  <si>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</si>
  <si>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</si>
  <si>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</si>
  <si>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</si>
  <si>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</si>
  <si>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</si>
  <si>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</si>
  <si>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</si>
  <si>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</si>
  <si>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</si>
  <si>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</si>
  <si>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</si>
  <si>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</si>
  <si>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</si>
  <si>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</si>
  <si>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</si>
  <si>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</si>
  <si>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</si>
  <si>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</si>
  <si>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</si>
  <si>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</si>
  <si>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</si>
  <si>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</si>
  <si>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</si>
  <si>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</si>
  <si>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</si>
  <si>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</si>
  <si>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</si>
  <si>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</si>
  <si>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</si>
  <si>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</si>
  <si>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</si>
  <si>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</si>
  <si>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</si>
  <si>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</si>
  <si>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</si>
  <si>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</si>
  <si>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</si>
  <si>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</si>
  <si>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</si>
  <si>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</si>
  <si>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</si>
  <si>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</si>
  <si>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</si>
  <si>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</si>
  <si>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</si>
  <si>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</si>
  <si>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</si>
  <si>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</si>
  <si>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</si>
  <si>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</si>
  <si>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</si>
  <si>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</si>
  <si>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</si>
  <si>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</si>
  <si>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</si>
  <si>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</si>
  <si>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</si>
  <si>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</si>
  <si>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</si>
  <si>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</si>
  <si>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</si>
  <si>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</si>
  <si>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</si>
  <si>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</si>
  <si>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</si>
  <si>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</si>
  <si>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</si>
  <si>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</si>
  <si>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</si>
  <si>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</si>
  <si>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</si>
  <si>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</si>
  <si>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</si>
  <si>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</si>
  <si>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</si>
  <si>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</si>
  <si>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</si>
  <si>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</si>
  <si>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</si>
  <si>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</si>
  <si>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</si>
  <si>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</si>
  <si>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</si>
  <si>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</si>
  <si>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</si>
  <si>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</si>
  <si>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</si>
  <si>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</si>
  <si>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</si>
  <si>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</si>
  <si>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</si>
  <si>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</si>
  <si>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</si>
  <si>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</si>
  <si>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</si>
  <si>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</si>
  <si>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</si>
  <si>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</si>
  <si>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</si>
  <si>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</si>
  <si>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</si>
  <si>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</si>
  <si>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</si>
  <si>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</si>
  <si>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</si>
  <si>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</si>
  <si>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</si>
  <si>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</si>
  <si>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</si>
  <si>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</si>
  <si>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</si>
  <si>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</si>
  <si>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</si>
  <si>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</si>
  <si>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</si>
  <si>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</si>
  <si>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</si>
  <si>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</si>
  <si>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</si>
  <si>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</si>
  <si>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</si>
  <si>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</si>
  <si>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</si>
  <si>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</si>
  <si>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</si>
  <si>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</si>
  <si>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</si>
  <si>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</si>
  <si>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</si>
  <si>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</si>
  <si>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</si>
  <si>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</si>
  <si>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</si>
  <si>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</si>
  <si>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</si>
  <si>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</si>
  <si>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</si>
  <si>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</si>
  <si>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</si>
  <si>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</si>
  <si>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</si>
  <si>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</si>
  <si>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</si>
  <si>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</si>
  <si>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</si>
  <si>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</si>
  <si>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</si>
  <si>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</si>
  <si>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</si>
  <si>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</si>
  <si>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</si>
  <si>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</si>
  <si>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</si>
  <si>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</si>
  <si>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</si>
  <si>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</si>
  <si>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</si>
  <si>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</si>
  <si>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</si>
  <si>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</si>
  <si>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</si>
  <si>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</si>
  <si>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</si>
  <si>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</si>
  <si>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</si>
  <si>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</si>
  <si>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</si>
  <si>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</si>
  <si>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</si>
  <si>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</si>
  <si>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</si>
  <si>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</si>
  <si>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</si>
  <si>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</si>
  <si>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</si>
  <si>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</si>
  <si>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</si>
  <si>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</si>
  <si>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</si>
  <si>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</si>
  <si>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</si>
  <si>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</si>
  <si>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</si>
  <si>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</si>
  <si>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</si>
  <si>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</si>
  <si>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</si>
  <si>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</si>
  <si>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</si>
  <si>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</si>
  <si>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</si>
  <si>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</si>
  <si>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</si>
  <si>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</si>
  <si>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</si>
  <si>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</si>
  <si>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</si>
  <si>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</si>
  <si>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</si>
  <si>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</si>
  <si>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</si>
  <si>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</si>
  <si>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</si>
  <si>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</si>
  <si>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</si>
  <si>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</si>
  <si>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</si>
  <si>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</si>
  <si>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</si>
  <si>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</si>
  <si>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</si>
  <si>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</si>
  <si>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</si>
  <si>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</si>
  <si>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</si>
  <si>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</si>
  <si>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</si>
  <si>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</si>
  <si>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</si>
  <si>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</si>
  <si>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</si>
  <si>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</si>
  <si>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</si>
  <si>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</si>
  <si>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</si>
  <si>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</si>
  <si>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</si>
  <si>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</si>
  <si>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</si>
  <si>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</si>
  <si>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</si>
  <si>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</si>
  <si>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</si>
  <si>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</si>
  <si>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</si>
  <si>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</si>
  <si>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</si>
  <si>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</si>
  <si>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</si>
  <si>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</si>
  <si>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</si>
  <si>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</si>
  <si>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</si>
  <si>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</si>
  <si>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</si>
  <si>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</si>
  <si>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</si>
  <si>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</si>
  <si>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</si>
  <si>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</si>
  <si>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</si>
  <si>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</si>
  <si>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</si>
  <si>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</si>
  <si>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</si>
  <si>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</si>
  <si>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</si>
  <si>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</si>
  <si>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</si>
  <si>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</si>
  <si>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</si>
  <si>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</si>
  <si>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</si>
  <si>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</si>
  <si>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</si>
  <si>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</si>
  <si>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</si>
  <si>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</si>
  <si>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</si>
  <si>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</si>
  <si>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</si>
  <si>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</si>
  <si>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</si>
  <si>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</si>
  <si>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</si>
  <si>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</si>
  <si>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</si>
  <si>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</si>
  <si>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</si>
  <si>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</si>
  <si>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</si>
  <si>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</si>
  <si>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</si>
  <si>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</si>
  <si>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</si>
  <si>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</si>
  <si>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</si>
  <si>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</si>
  <si>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</si>
  <si>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</si>
  <si>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</si>
  <si>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</si>
  <si>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</si>
  <si>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</si>
  <si>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</si>
  <si>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</si>
  <si>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</si>
  <si>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</si>
  <si>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</si>
  <si>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</si>
  <si>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</si>
  <si>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</si>
  <si>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</si>
  <si>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</si>
  <si>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</si>
  <si>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</si>
  <si>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</si>
  <si>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</si>
  <si>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</si>
  <si>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</si>
  <si>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</si>
  <si>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</si>
  <si>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</si>
  <si>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</si>
  <si>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</si>
  <si>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</si>
  <si>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</si>
  <si>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</si>
  <si>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</si>
  <si>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</si>
  <si>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</si>
  <si>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</si>
  <si>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</si>
  <si>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</si>
  <si>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</si>
  <si>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</si>
  <si>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</si>
  <si>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</si>
  <si>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</si>
  <si>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</si>
  <si>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</si>
  <si>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</si>
  <si>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</si>
  <si>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</si>
  <si>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</si>
  <si>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</si>
  <si>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</si>
  <si>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</si>
  <si>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</si>
  <si>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</si>
  <si>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</si>
  <si>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</si>
  <si>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</si>
  <si>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</si>
  <si>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</si>
  <si>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</si>
  <si>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</si>
  <si>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</si>
  <si>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</si>
  <si>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</si>
  <si>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</si>
  <si>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</si>
  <si>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</si>
  <si>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</si>
  <si>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</si>
  <si>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</si>
  <si>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</si>
  <si>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</si>
  <si>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</si>
  <si>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</si>
  <si>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</si>
  <si>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</si>
  <si>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</si>
  <si>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</si>
  <si>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</si>
  <si>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</si>
  <si>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</si>
  <si>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</si>
  <si>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</si>
  <si>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</si>
  <si>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</si>
  <si>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</si>
  <si>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</si>
  <si>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</si>
  <si>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</si>
  <si>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</si>
  <si>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</si>
  <si>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</si>
  <si>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</si>
  <si>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</si>
  <si>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</si>
  <si>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</si>
  <si>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</si>
  <si>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</si>
  <si>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</si>
  <si>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</si>
  <si>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</si>
  <si>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</si>
  <si>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</si>
  <si>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</si>
  <si>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</si>
  <si>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</si>
  <si>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</si>
  <si>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</si>
  <si>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</si>
  <si>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</si>
  <si>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</si>
  <si>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</si>
  <si>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</si>
  <si>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</si>
  <si>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</si>
  <si>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</si>
  <si>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</si>
  <si>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</si>
  <si>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</si>
  <si>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</si>
  <si>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</si>
  <si>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</si>
  <si>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</si>
  <si>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</si>
  <si>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</si>
  <si>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</si>
  <si>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</si>
  <si>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</si>
  <si>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</si>
  <si>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</si>
  <si>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</si>
  <si>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</si>
  <si>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</si>
  <si>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</si>
  <si>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</si>
  <si>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</si>
  <si>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</si>
  <si>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</si>
  <si>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</si>
  <si>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</si>
  <si>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</si>
  <si>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</si>
  <si>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</si>
  <si>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</si>
  <si>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</si>
  <si>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</si>
  <si>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</si>
  <si>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</si>
  <si>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</si>
  <si>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</si>
  <si>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</si>
  <si>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</si>
  <si>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</si>
  <si>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</si>
  <si>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</si>
  <si>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</si>
  <si>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</si>
  <si>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</si>
  <si>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</si>
  <si>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</si>
  <si>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</si>
  <si>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</si>
  <si>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</si>
  <si>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</si>
  <si>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</si>
  <si>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</si>
  <si>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</si>
  <si>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</si>
  <si>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</si>
  <si>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</si>
  <si>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</si>
  <si>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</si>
  <si>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</si>
  <si>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</si>
  <si>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</si>
  <si>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</si>
  <si>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</si>
  <si>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</si>
  <si>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</si>
  <si>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</si>
  <si>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</si>
  <si>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</si>
  <si>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</si>
  <si>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</si>
  <si>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</si>
  <si>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</si>
  <si>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</si>
  <si>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</si>
  <si>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</si>
  <si>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</si>
  <si>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</si>
  <si>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</si>
  <si>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</si>
  <si>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</si>
  <si>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</si>
  <si>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</si>
  <si>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</si>
  <si>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</si>
  <si>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</si>
  <si>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</si>
  <si>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</si>
  <si>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</si>
  <si>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</si>
  <si>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</si>
  <si>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</si>
  <si>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</si>
  <si>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</si>
  <si>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</si>
  <si>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</si>
  <si>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</si>
  <si>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</si>
  <si>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</si>
  <si>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</si>
  <si>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</si>
  <si>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</si>
  <si>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</si>
  <si>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</si>
  <si>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</si>
  <si>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</si>
  <si>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</si>
  <si>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</si>
  <si>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</si>
  <si>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</si>
  <si>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</si>
  <si>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</si>
  <si>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</si>
  <si>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</si>
  <si>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</si>
  <si>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</si>
  <si>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</si>
  <si>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</si>
  <si>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</si>
  <si>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</si>
  <si>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</si>
  <si>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</si>
  <si>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</si>
  <si>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</si>
  <si>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</si>
  <si>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</si>
  <si>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</si>
  <si>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</si>
  <si>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</si>
  <si>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</si>
  <si>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</si>
  <si>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</si>
  <si>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</si>
  <si>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</si>
  <si>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</si>
  <si>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</si>
  <si>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</si>
  <si>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</si>
  <si>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</si>
  <si>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</si>
  <si>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</si>
  <si>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</si>
  <si>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</si>
  <si>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</si>
  <si>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</si>
  <si>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</si>
  <si>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</si>
  <si>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</si>
  <si>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</si>
  <si>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</si>
  <si>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</si>
  <si>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</si>
  <si>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</si>
  <si>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</si>
  <si>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</si>
  <si>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</si>
  <si>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</si>
  <si>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</si>
  <si>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</si>
  <si>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</si>
  <si>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</si>
  <si>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</si>
  <si>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</si>
  <si>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</si>
  <si>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</si>
  <si>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</si>
  <si>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</si>
  <si>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</si>
  <si>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</si>
  <si>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</si>
  <si>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</si>
  <si>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</si>
  <si>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</si>
  <si>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</si>
  <si>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</si>
  <si>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</si>
  <si>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</si>
  <si>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</si>
  <si>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</si>
  <si>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</si>
  <si>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</si>
  <si>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</si>
  <si>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</si>
  <si>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</si>
  <si>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</si>
  <si>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</si>
  <si>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</si>
  <si>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</si>
  <si>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</si>
  <si>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</si>
  <si>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</si>
  <si>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</si>
  <si>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</si>
  <si>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</si>
  <si>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</si>
  <si>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</si>
  <si>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</si>
  <si>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</si>
  <si>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</si>
  <si>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</si>
  <si>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</si>
  <si>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</si>
  <si>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</si>
  <si>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</si>
  <si>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</si>
  <si>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</si>
  <si>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</si>
  <si>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</si>
  <si>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</si>
  <si>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</si>
  <si>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</si>
  <si>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</si>
  <si>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</si>
  <si>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</si>
  <si>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</si>
  <si>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</si>
  <si>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</si>
  <si>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</si>
  <si>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</si>
  <si>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</si>
  <si>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</si>
  <si>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</si>
  <si>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</si>
  <si>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</si>
  <si>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</si>
  <si>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</si>
  <si>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</si>
  <si>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</si>
  <si>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</si>
  <si>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</si>
  <si>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</si>
  <si>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</si>
  <si>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</si>
  <si>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</si>
  <si>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</si>
  <si>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</si>
  <si>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</si>
  <si>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</si>
  <si>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</si>
  <si>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</si>
  <si>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</si>
  <si>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</si>
  <si>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</si>
  <si>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</si>
  <si>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</si>
  <si>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</si>
  <si>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</si>
  <si>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</si>
  <si>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</si>
  <si>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</si>
  <si>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</si>
  <si>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</si>
  <si>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</si>
  <si>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</si>
  <si>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</si>
  <si>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</si>
  <si>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</si>
  <si>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</si>
  <si>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</si>
  <si>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</si>
  <si>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</si>
  <si>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</si>
  <si>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</si>
  <si>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</si>
  <si>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</si>
  <si>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</si>
  <si>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</si>
  <si>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</si>
  <si>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</si>
  <si>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</si>
  <si>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</si>
  <si>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</si>
  <si>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</si>
  <si>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</si>
  <si>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</si>
  <si>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</si>
  <si>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</si>
  <si>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</si>
  <si>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</si>
  <si>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</si>
  <si>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</si>
  <si>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</si>
  <si>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</si>
  <si>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</si>
  <si>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</si>
  <si>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</si>
  <si>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</si>
  <si>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</si>
  <si>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</si>
  <si>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</si>
  <si>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</si>
  <si>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</si>
  <si>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</si>
  <si>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</si>
  <si>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</si>
  <si>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</si>
  <si>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</si>
  <si>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</si>
  <si>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</si>
  <si>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</si>
  <si>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</si>
  <si>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</si>
  <si>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</si>
  <si>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</si>
  <si>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</si>
  <si>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</si>
  <si>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</si>
  <si>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</si>
  <si>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</si>
  <si>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</si>
  <si>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</si>
  <si>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</si>
  <si>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</si>
  <si>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</si>
  <si>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</si>
  <si>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</si>
  <si>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</si>
  <si>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</si>
  <si>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</si>
  <si>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</si>
  <si>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</si>
  <si>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</si>
  <si>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</si>
  <si>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</si>
  <si>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</si>
  <si>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</si>
  <si>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</si>
  <si>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</si>
  <si>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</si>
  <si>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</si>
  <si>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</si>
  <si>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</si>
  <si>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</si>
  <si>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</si>
  <si>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</si>
  <si>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</si>
  <si>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</si>
  <si>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</si>
  <si>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</si>
  <si>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</si>
  <si>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</si>
  <si>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</si>
  <si>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</si>
  <si>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</si>
  <si>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</si>
  <si>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</si>
  <si>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</si>
  <si>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</si>
  <si>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</si>
  <si>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</si>
  <si>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</si>
  <si>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</si>
  <si>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</si>
  <si>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</si>
  <si>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</si>
  <si>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</si>
  <si>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</si>
  <si>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</si>
  <si>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</si>
  <si>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</si>
  <si>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</si>
  <si>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</si>
  <si>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</si>
  <si>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</si>
  <si>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</si>
  <si>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</si>
  <si>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</si>
  <si>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</si>
  <si>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</si>
  <si>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</si>
  <si>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</si>
  <si>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</si>
  <si>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</si>
  <si>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</si>
  <si>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</si>
  <si>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</si>
  <si>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</si>
  <si>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</si>
  <si>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</si>
  <si>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</si>
  <si>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</si>
  <si>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</si>
  <si>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</si>
  <si>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</si>
  <si>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</si>
  <si>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</si>
  <si>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</si>
  <si>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</si>
  <si>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</si>
  <si>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</si>
  <si>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</si>
  <si>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</si>
  <si>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</si>
  <si>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</si>
  <si>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</si>
  <si>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</si>
  <si>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</si>
  <si>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</si>
  <si>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</si>
  <si>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</si>
  <si>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</si>
  <si>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</si>
  <si>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</si>
  <si>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</si>
  <si>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</si>
  <si>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</si>
  <si>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</si>
  <si>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</si>
  <si>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</si>
  <si>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</si>
  <si>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</si>
  <si>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</si>
  <si>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</si>
  <si>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</si>
  <si>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</si>
  <si>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</si>
  <si>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</si>
  <si>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</si>
  <si>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</si>
  <si>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</si>
  <si>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</si>
  <si>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</si>
  <si>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</si>
  <si>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</si>
  <si>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</si>
  <si>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</si>
  <si>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</si>
  <si>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</si>
  <si>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</si>
  <si>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</si>
  <si>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</si>
  <si>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</si>
  <si>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</si>
  <si>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</si>
  <si>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</si>
  <si>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</si>
  <si>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</si>
  <si>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</si>
  <si>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</si>
  <si>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</si>
  <si>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</si>
  <si>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</si>
  <si>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</si>
  <si>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</si>
  <si>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</si>
  <si>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</si>
  <si>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</si>
  <si>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</si>
  <si>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</si>
  <si>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</si>
  <si>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</si>
  <si>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</si>
  <si>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</si>
  <si>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</si>
  <si>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</si>
  <si>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</si>
  <si>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</si>
  <si>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</si>
  <si>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</si>
  <si>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</si>
  <si>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</si>
  <si>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</si>
  <si>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</si>
  <si>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</si>
  <si>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</si>
  <si>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</si>
  <si>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</si>
  <si>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</si>
  <si>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</si>
  <si>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</si>
  <si>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</si>
  <si>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</si>
  <si>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</si>
  <si>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</si>
  <si>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</si>
  <si>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</si>
  <si>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</si>
  <si>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</si>
  <si>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</si>
  <si>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</si>
  <si>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</si>
  <si>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</si>
  <si>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</si>
  <si>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</si>
  <si>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</si>
  <si>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</si>
  <si>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</si>
  <si>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</si>
  <si>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</si>
  <si>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</si>
  <si>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</si>
  <si>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</si>
  <si>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</si>
  <si>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</si>
  <si>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</si>
  <si>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</si>
  <si>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</si>
  <si>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</si>
  <si>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</si>
  <si>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</si>
  <si>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</si>
  <si>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</si>
  <si>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</si>
  <si>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</si>
  <si>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</si>
  <si>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</si>
  <si>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</si>
  <si>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</si>
  <si>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</si>
  <si>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</si>
  <si>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</si>
  <si>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</si>
  <si>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</si>
  <si>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</si>
  <si>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</si>
  <si>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</si>
  <si>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</si>
  <si>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</si>
  <si>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</si>
  <si>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</si>
  <si>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</si>
  <si>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</si>
  <si>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</si>
  <si>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</si>
  <si>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</si>
  <si>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</si>
  <si>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</si>
  <si>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</si>
  <si>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</si>
  <si>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</si>
  <si>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</si>
  <si>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</si>
  <si>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</si>
  <si>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</si>
  <si>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</si>
  <si>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</si>
  <si>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</si>
  <si>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</si>
  <si>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</si>
  <si>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</si>
  <si>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</si>
  <si>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</si>
  <si>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</si>
  <si>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</si>
  <si>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</si>
  <si>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</si>
  <si>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</si>
  <si>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</si>
  <si>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</si>
  <si>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</si>
  <si>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</si>
  <si>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</si>
  <si>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</si>
  <si>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</si>
  <si>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</si>
  <si>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</si>
  <si>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</si>
  <si>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</si>
  <si>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</si>
  <si>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</si>
  <si>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</si>
  <si>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</si>
  <si>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</si>
  <si>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</si>
  <si>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</si>
  <si>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</si>
  <si>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</si>
  <si>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</si>
  <si>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</si>
  <si>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</si>
  <si>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</si>
  <si>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</si>
  <si>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</si>
  <si>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</si>
  <si>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</si>
  <si>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</si>
  <si>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</si>
  <si>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</si>
  <si>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</si>
  <si>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</si>
  <si>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</si>
  <si>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</si>
  <si>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</si>
  <si>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</si>
  <si>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</si>
  <si>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</si>
  <si>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</si>
  <si>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</si>
  <si>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</si>
  <si>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</si>
  <si>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</si>
  <si>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</si>
  <si>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</si>
  <si>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</si>
  <si>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</si>
  <si>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</si>
  <si>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</si>
  <si>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</si>
  <si>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</si>
  <si>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</si>
  <si>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</si>
  <si>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</si>
  <si>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</si>
  <si>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</si>
  <si>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</si>
  <si>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</si>
  <si>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</si>
  <si>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</si>
  <si>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</si>
  <si>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</si>
  <si>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</si>
  <si>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</si>
  <si>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</si>
  <si>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</si>
  <si>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</si>
  <si>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</si>
  <si>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</si>
  <si>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</si>
  <si>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</si>
  <si>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</si>
  <si>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</si>
  <si>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</si>
  <si>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</si>
  <si>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</si>
  <si>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</si>
  <si>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</si>
  <si>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</si>
  <si>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</si>
  <si>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</si>
  <si>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</si>
  <si>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</si>
  <si>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</si>
  <si>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</si>
  <si>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</si>
  <si>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</si>
  <si>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</si>
  <si>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</si>
  <si>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</si>
  <si>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</si>
  <si>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</si>
  <si>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</si>
  <si>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</si>
  <si>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</si>
  <si>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</si>
  <si>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</si>
  <si>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</si>
  <si>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</si>
  <si>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</si>
  <si>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</si>
  <si>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</si>
  <si>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</si>
  <si>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</si>
  <si>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</si>
  <si>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</si>
  <si>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</si>
  <si>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</si>
  <si>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</si>
  <si>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</si>
  <si>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</si>
  <si>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</si>
  <si>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</si>
  <si>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</si>
  <si>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</si>
  <si>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</si>
  <si>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</si>
  <si>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</si>
  <si>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</si>
  <si>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</si>
  <si>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</si>
  <si>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</si>
  <si>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</si>
  <si>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</si>
  <si>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</si>
  <si>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</si>
  <si>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</si>
  <si>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</si>
  <si>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</si>
  <si>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</si>
  <si>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</si>
  <si>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</si>
  <si>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</si>
  <si>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</si>
  <si>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</si>
  <si>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</si>
  <si>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</si>
  <si>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</si>
  <si>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</si>
  <si>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</si>
  <si>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</si>
  <si>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</si>
  <si>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</si>
  <si>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</si>
  <si>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</si>
  <si>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</si>
  <si>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</si>
  <si>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</si>
  <si>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</si>
  <si>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</si>
  <si>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</si>
  <si>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</si>
  <si>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</si>
  <si>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</si>
  <si>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</si>
  <si>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</si>
  <si>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</si>
  <si>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</si>
  <si>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</si>
  <si>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</si>
  <si>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</si>
  <si>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</si>
  <si>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</si>
  <si>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</si>
  <si>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</si>
  <si>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</si>
  <si>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</si>
  <si>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</si>
  <si>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</si>
  <si>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</si>
  <si>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</si>
  <si>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</si>
  <si>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</si>
  <si>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</si>
  <si>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</si>
  <si>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</si>
  <si>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</si>
  <si>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</si>
  <si>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</si>
  <si>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</si>
  <si>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</si>
  <si>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</si>
  <si>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</si>
  <si>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</si>
  <si>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</si>
  <si>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</si>
  <si>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</si>
  <si>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</si>
  <si>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</si>
  <si>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</si>
  <si>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</si>
  <si>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</si>
  <si>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</si>
  <si>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</si>
  <si>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</si>
  <si>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</si>
  <si>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</si>
  <si>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</si>
  <si>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</si>
  <si>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</si>
  <si>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</si>
  <si>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</si>
  <si>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</si>
  <si>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</si>
  <si>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</si>
  <si>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</si>
  <si>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</si>
  <si>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</si>
  <si>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</si>
  <si>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</si>
  <si>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</si>
  <si>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</si>
  <si>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</si>
  <si>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</si>
  <si>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</si>
  <si>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</si>
  <si>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</si>
  <si>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</si>
  <si>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</si>
  <si>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</si>
  <si>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</si>
  <si>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</si>
  <si>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</si>
  <si>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</si>
  <si>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</si>
  <si>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</si>
  <si>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</si>
  <si>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</si>
  <si>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</si>
  <si>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</si>
  <si>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</si>
  <si>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</si>
  <si>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</si>
  <si>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</si>
  <si>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</si>
  <si>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</si>
  <si>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</si>
  <si>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</si>
  <si>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</si>
  <si>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</si>
  <si>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</si>
  <si>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</si>
  <si>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</si>
  <si>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</si>
  <si>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</si>
  <si>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</si>
  <si>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</si>
  <si>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</si>
  <si>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</si>
  <si>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</si>
  <si>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</si>
  <si>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</si>
  <si>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</si>
  <si>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</si>
  <si>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</si>
  <si>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</si>
  <si>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</si>
  <si>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</si>
  <si>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</si>
  <si>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</si>
  <si>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</si>
  <si>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</si>
  <si>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</si>
  <si>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</si>
  <si>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</si>
  <si>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</si>
  <si>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</si>
  <si>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</si>
  <si>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</si>
  <si>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</si>
  <si>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</si>
  <si>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</si>
  <si>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</si>
  <si>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</si>
  <si>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</si>
  <si>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</si>
  <si>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</si>
  <si>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</si>
  <si>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</si>
  <si>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</si>
  <si>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</si>
  <si>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</si>
  <si>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</si>
  <si>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</si>
  <si>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</si>
  <si>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</si>
  <si>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</si>
  <si>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</si>
  <si>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</si>
  <si>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</si>
  <si>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</si>
  <si>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</si>
  <si>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</si>
  <si>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</si>
  <si>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</si>
  <si>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</si>
  <si>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</si>
  <si>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</si>
  <si>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</si>
  <si>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</si>
  <si>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</si>
  <si>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</si>
  <si>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</si>
  <si>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</si>
  <si>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</si>
  <si>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</si>
  <si>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</si>
  <si>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</si>
  <si>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</si>
  <si>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</si>
  <si>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</si>
  <si>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</si>
  <si>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</si>
  <si>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</si>
  <si>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</si>
  <si>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</si>
  <si>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</si>
  <si>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</si>
  <si>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</si>
  <si>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</si>
  <si>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</si>
  <si>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</si>
  <si>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</si>
  <si>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</si>
  <si>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</si>
  <si>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</si>
  <si>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</si>
  <si>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</si>
  <si>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</si>
  <si>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</si>
  <si>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</si>
  <si>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</si>
  <si>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</si>
  <si>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</si>
  <si>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</si>
  <si>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</si>
  <si>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</si>
  <si>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</si>
  <si>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</si>
  <si>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</si>
  <si>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</si>
  <si>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</si>
  <si>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</si>
  <si>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</si>
  <si>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</si>
  <si>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</si>
  <si>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</si>
  <si>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</si>
  <si>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</si>
  <si>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</si>
  <si>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</si>
  <si>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</si>
  <si>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</si>
  <si>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</si>
  <si>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</si>
  <si>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</si>
  <si>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</si>
  <si>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</si>
  <si>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</si>
  <si>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</si>
  <si>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</si>
  <si>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</si>
  <si>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</si>
  <si>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</si>
  <si>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</si>
  <si>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</si>
  <si>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</si>
  <si>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</si>
  <si>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</si>
  <si>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</si>
  <si>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</si>
  <si>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</si>
  <si>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</si>
  <si>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</si>
  <si>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</si>
  <si>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</si>
  <si>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</si>
  <si>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</si>
  <si>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</si>
  <si>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</si>
  <si>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</si>
  <si>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</si>
  <si>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</si>
  <si>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</si>
  <si>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</si>
  <si>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</si>
  <si>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</si>
  <si>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</si>
  <si>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</si>
  <si>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</si>
  <si>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</si>
  <si>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</si>
  <si>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</si>
  <si>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</si>
  <si>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</si>
  <si>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</si>
  <si>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</si>
  <si>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</si>
  <si>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</si>
  <si>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</si>
  <si>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</si>
  <si>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</si>
  <si>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</si>
  <si>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</si>
  <si>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</si>
  <si>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</si>
  <si>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</si>
  <si>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</si>
  <si>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</si>
  <si>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</si>
  <si>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</si>
  <si>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</si>
  <si>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</si>
  <si>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</si>
  <si>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</si>
  <si>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</si>
  <si>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</si>
  <si>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</si>
  <si>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</si>
  <si>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</si>
  <si>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</si>
  <si>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</si>
  <si>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</si>
  <si>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</si>
  <si>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</si>
  <si>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</si>
  <si>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</si>
  <si>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</si>
  <si>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</si>
  <si>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</si>
  <si>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</si>
  <si>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</si>
  <si>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</si>
  <si>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</si>
  <si>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</si>
  <si>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</si>
  <si>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</si>
  <si>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</si>
  <si>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</si>
  <si>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</si>
  <si>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</si>
  <si>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</si>
  <si>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</si>
  <si>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</si>
  <si>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</si>
  <si>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</si>
  <si>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</si>
  <si>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</si>
  <si>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</si>
  <si>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</si>
  <si>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</si>
  <si>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</si>
  <si>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</si>
  <si>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</si>
  <si>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</si>
  <si>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</si>
  <si>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</si>
  <si>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</si>
  <si>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</si>
  <si>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</si>
  <si>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</si>
  <si>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</si>
  <si>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</si>
  <si>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</si>
  <si>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</si>
  <si>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</si>
  <si>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</si>
  <si>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</si>
  <si>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</si>
  <si>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</si>
  <si>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</si>
  <si>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</si>
  <si>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</si>
  <si>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</si>
  <si>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</si>
  <si>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</si>
  <si>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</si>
  <si>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</si>
  <si>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</si>
  <si>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</si>
  <si>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</si>
  <si>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</si>
  <si>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</si>
  <si>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</si>
  <si>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</si>
  <si>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</si>
  <si>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</si>
  <si>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</si>
  <si>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</si>
  <si>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</si>
  <si>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</si>
  <si>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</si>
  <si>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</si>
  <si>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</si>
  <si>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</si>
  <si>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</si>
  <si>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</si>
  <si>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</si>
  <si>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</si>
  <si>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</si>
  <si>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</si>
  <si>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</si>
  <si>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</si>
  <si>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</si>
  <si>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</si>
  <si>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</si>
  <si>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</si>
  <si>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</si>
  <si>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</si>
  <si>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</si>
  <si>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</si>
  <si>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</si>
  <si>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</si>
  <si>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</si>
  <si>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</si>
  <si>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</si>
  <si>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</si>
  <si>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</si>
  <si>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</si>
  <si>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</si>
  <si>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</si>
  <si>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</si>
  <si>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</si>
  <si>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</si>
  <si>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</si>
  <si>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</si>
  <si>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</si>
  <si>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</si>
  <si>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</si>
  <si>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</si>
  <si>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</si>
  <si>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</si>
  <si>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</si>
  <si>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</si>
  <si>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</si>
  <si>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</si>
  <si>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</si>
  <si>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</si>
  <si>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</si>
  <si>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</si>
  <si>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</si>
  <si>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</si>
  <si>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</si>
  <si>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</si>
  <si>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</si>
  <si>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</si>
  <si>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</si>
  <si>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</si>
  <si>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</si>
  <si>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</si>
  <si>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</si>
  <si>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</si>
  <si>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</si>
  <si>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</si>
  <si>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</si>
  <si>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</si>
  <si>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</si>
  <si>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</si>
  <si>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</si>
  <si>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</si>
  <si>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</si>
  <si>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</si>
  <si>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</si>
  <si>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</si>
  <si>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</si>
  <si>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</si>
  <si>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</si>
  <si>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</si>
  <si>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</si>
  <si>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</si>
  <si>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</si>
  <si>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</si>
  <si>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</si>
  <si>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</si>
  <si>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</si>
  <si>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</si>
  <si>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</si>
  <si>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</si>
  <si>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</si>
  <si>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</si>
  <si>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</si>
  <si>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</si>
  <si>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</si>
  <si>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</si>
  <si>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</si>
  <si>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</si>
  <si>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</si>
  <si>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</si>
  <si>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</si>
  <si>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</si>
  <si>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</si>
  <si>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</si>
  <si>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</si>
  <si>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</si>
  <si>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</si>
  <si>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</si>
  <si>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</si>
  <si>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</si>
  <si>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</si>
  <si>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</si>
  <si>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</si>
  <si>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</si>
  <si>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</si>
  <si>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</si>
  <si>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</si>
  <si>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</si>
  <si>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</si>
  <si>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</si>
  <si>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</si>
  <si>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</si>
  <si>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</si>
  <si>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</si>
  <si>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</si>
  <si>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</si>
  <si>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</si>
  <si>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与级别开发程度不一致</t>
  </si>
  <si>
    <t>是否为估价范围</t>
    <phoneticPr fontId="6" type="noConversion"/>
  </si>
  <si>
    <t>2022-1</t>
    <phoneticPr fontId="4" type="noConversion"/>
  </si>
  <si>
    <t>2022-2</t>
    <phoneticPr fontId="4" type="noConversion"/>
  </si>
  <si>
    <t>2022-1</t>
    <phoneticPr fontId="4" type="noConversion"/>
  </si>
  <si>
    <t>自定义容积率</t>
  </si>
  <si>
    <t>不临65条商业街</t>
  </si>
  <si>
    <t>通路</t>
  </si>
  <si>
    <t>通电</t>
  </si>
  <si>
    <t>通讯</t>
  </si>
  <si>
    <t>通上水</t>
  </si>
  <si>
    <t>通下水</t>
  </si>
  <si>
    <t>燃气</t>
  </si>
  <si>
    <t>平整</t>
  </si>
  <si>
    <t>按公示增长率计算</t>
  </si>
  <si>
    <t>中心城区</t>
  </si>
  <si>
    <t>好</t>
  </si>
  <si>
    <t>较好</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</si>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</sst>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97;&#21271;&#22823;&#24742;&#224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207366.83</v>
          </cell>
          <cell r="AL13">
            <v>457.54</v>
          </cell>
        </row>
      </sheetData>
      <sheetData sheetId="12" refreshError="1"/>
      <sheetData sheetId="13">
        <row r="2">
          <cell r="D2">
            <v>20992.38</v>
          </cell>
        </row>
        <row r="3">
          <cell r="D3">
            <v>21209.27</v>
          </cell>
        </row>
        <row r="4">
          <cell r="D4">
            <v>21001.57</v>
          </cell>
        </row>
        <row r="5">
          <cell r="D5">
            <v>21428.01</v>
          </cell>
        </row>
        <row r="6">
          <cell r="D6">
            <v>22715.4</v>
          </cell>
        </row>
        <row r="7">
          <cell r="D7">
            <v>22146.71</v>
          </cell>
        </row>
        <row r="8">
          <cell r="D8">
            <v>21504.07</v>
          </cell>
        </row>
        <row r="9">
          <cell r="D9">
            <v>18700.060000000001</v>
          </cell>
        </row>
        <row r="10">
          <cell r="D10">
            <v>14749.29</v>
          </cell>
        </row>
        <row r="11">
          <cell r="D11">
            <v>14967.36</v>
          </cell>
        </row>
        <row r="12">
          <cell r="D12">
            <v>8410.25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2022年8月25日</v>
      </c>
    </row>
    <row r="13" spans="1:2" s="2762" customFormat="1">
      <c r="A13" s="2760" t="s">
        <v>742</v>
      </c>
      <c r="B13" s="2761"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38" sqref="B38"/>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44798</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1" t="s">
        <v>2439</v>
      </c>
      <c r="E8" s="2898"/>
      <c r="F8" s="2899"/>
      <c r="G8" s="2880"/>
      <c r="H8" s="2880"/>
      <c r="I8" s="2880"/>
      <c r="J8" s="862"/>
      <c r="K8" s="2900"/>
      <c r="L8" s="2893"/>
      <c r="M8" s="2893"/>
      <c r="N8" s="862"/>
      <c r="O8" s="2893"/>
      <c r="P8" s="862"/>
      <c r="Q8" s="862"/>
      <c r="R8" s="862"/>
    </row>
    <row r="9" spans="1:28" ht="13.5" thickBot="1">
      <c r="A9" s="2901" t="s">
        <v>2440</v>
      </c>
      <c r="B9" s="2902"/>
      <c r="C9" s="2903"/>
      <c r="D9" s="3042"/>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3316">
        <v>52806</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21.93</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113</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344</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44798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44798</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44798</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抵押担保权已注销时的房地产抵押价值</v>
      </c>
      <c r="L49" s="3138"/>
      <c r="M49" s="3159" t="str">
        <f>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44798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44798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44798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44798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44798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2022年8月25日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44798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44798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58" t="s">
        <v>2128</v>
      </c>
      <c r="H57" s="2222" t="str">
        <f>项目基本情况!B37</f>
        <v>四级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58"/>
      <c r="H58" s="2222" t="str">
        <f>项目基本情况!B37</f>
        <v>四级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58"/>
      <c r="H59" s="2222" t="str">
        <f>项目基本情况!B37</f>
        <v>四级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t="str">
        <f>项目基本情况!B37</f>
        <v>四级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四级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44798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58" t="s">
        <v>2128</v>
      </c>
      <c r="H52" s="2222" t="str">
        <f>项目基本情况!B37</f>
        <v>四级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58"/>
      <c r="H53" s="2222" t="str">
        <f>项目基本情况!B37</f>
        <v>四级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58"/>
      <c r="H54" s="2222" t="str">
        <f>项目基本情况!B37</f>
        <v>四级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t="str">
        <f>项目基本情况!B37</f>
        <v>四级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四级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Normal="80" zoomScaleSheetLayoutView="100" workbookViewId="0">
      <selection activeCell="K17" sqref="K17"/>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207366.83</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285128</v>
      </c>
      <c r="C2" s="2266" t="s">
        <v>2172</v>
      </c>
      <c r="D2" s="473" t="s">
        <v>2173</v>
      </c>
      <c r="E2" s="2267" t="s">
        <v>886</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Ⅳ-21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21530</v>
      </c>
      <c r="U2" s="2269">
        <f>[3]面积表!$D$2-'[3]数据-基础表'!$AL$13</f>
        <v>20534.84</v>
      </c>
      <c r="V2" s="477">
        <f>ROUND(T2*U2/10000,0)</f>
        <v>44212</v>
      </c>
      <c r="W2" s="2262"/>
      <c r="X2" s="2262"/>
      <c r="Y2" s="2262"/>
      <c r="Z2" s="2262"/>
      <c r="AA2" s="2262"/>
      <c r="AB2" s="2262"/>
      <c r="AC2" s="2262"/>
      <c r="AD2" s="2263"/>
      <c r="AE2" s="2263"/>
      <c r="AF2" s="2263"/>
      <c r="AG2" s="2263"/>
      <c r="AH2" s="2263"/>
      <c r="AI2" s="2263"/>
      <c r="AJ2" s="2264"/>
    </row>
    <row r="3" spans="1:36" ht="15.75">
      <c r="A3" s="2265" t="s">
        <v>2177</v>
      </c>
      <c r="B3" s="2265">
        <f>ROUND(B2*10000/D1,0)</f>
        <v>13750</v>
      </c>
      <c r="C3" s="2266" t="s">
        <v>2178</v>
      </c>
      <c r="D3" s="473" t="s">
        <v>2179</v>
      </c>
      <c r="E3" s="2267" t="s">
        <v>2823</v>
      </c>
      <c r="F3" s="2270" t="s">
        <v>3095</v>
      </c>
      <c r="G3" s="2271">
        <v>6.15</v>
      </c>
      <c r="H3" s="473" t="s">
        <v>2180</v>
      </c>
      <c r="I3" s="2271">
        <v>11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16970</v>
      </c>
      <c r="U3" s="2269">
        <f>[3]面积表!$D$3</f>
        <v>21209.27</v>
      </c>
      <c r="V3" s="477">
        <f t="shared" ref="V3:V16" si="1">ROUND(T3*U3/10000,0)</f>
        <v>35992</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16570</v>
      </c>
      <c r="N4" s="473">
        <f>SUMPRODUCT((因素修正幅度!B55:B86=I2)*(因素修正幅度!C3:G3=E2)*(因素修正幅度!C55:G86))</f>
        <v>0.1</v>
      </c>
      <c r="O4" s="2259"/>
      <c r="P4" s="2259"/>
      <c r="Q4" s="2259"/>
      <c r="R4" s="477">
        <v>3</v>
      </c>
      <c r="S4" s="477">
        <f>ROUND(SUMPRODUCT((B107:B111=R4)*(C106:N106=G2)*(C107:N111)),4)</f>
        <v>1.0004999999999999</v>
      </c>
      <c r="T4" s="477">
        <f t="shared" si="0"/>
        <v>14342</v>
      </c>
      <c r="U4" s="2269">
        <f>[3]面积表!$D$4</f>
        <v>21001.57</v>
      </c>
      <c r="V4" s="477">
        <f t="shared" si="1"/>
        <v>30120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16550</v>
      </c>
      <c r="D5" s="2274">
        <f>ROUND(C6*C17+C20,0)</f>
        <v>16550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12649</v>
      </c>
      <c r="U5" s="2269">
        <f>[3]面积表!$D$5</f>
        <v>21428.01</v>
      </c>
      <c r="V5" s="477">
        <f t="shared" si="1"/>
        <v>27104</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16570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12156</v>
      </c>
      <c r="U6" s="2269">
        <f>[3]面积表!$D$6</f>
        <v>22715.4</v>
      </c>
      <c r="V6" s="477">
        <f t="shared" si="1"/>
        <v>27613</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v>0.83850000000000002</v>
      </c>
      <c r="T7" s="477">
        <f t="shared" si="0"/>
        <v>12020</v>
      </c>
      <c r="U7" s="2269">
        <f>[3]面积表!$D$7</f>
        <v>22146.71</v>
      </c>
      <c r="V7" s="477">
        <f t="shared" si="1"/>
        <v>26620</v>
      </c>
      <c r="W7" s="2293" t="s">
        <v>2193</v>
      </c>
      <c r="X7" s="498" t="str">
        <f>G2</f>
        <v>四级</v>
      </c>
      <c r="Y7" s="498" t="s">
        <v>2194</v>
      </c>
      <c r="Z7" s="498">
        <f>G3</f>
        <v>6.15</v>
      </c>
      <c r="AA7" s="2262"/>
      <c r="AB7" s="2262"/>
      <c r="AC7" s="2262"/>
      <c r="AD7" s="2263"/>
      <c r="AE7" s="2263"/>
      <c r="AF7" s="2263"/>
      <c r="AG7" s="2263"/>
      <c r="AH7" s="2263"/>
      <c r="AI7" s="2263"/>
      <c r="AJ7" s="2264"/>
    </row>
    <row r="8" spans="1:36" ht="25.5">
      <c r="A8" s="2294"/>
      <c r="B8" s="473" t="s">
        <v>2195</v>
      </c>
      <c r="C8" s="2267" t="s">
        <v>3096</v>
      </c>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v>0.83640000000000003</v>
      </c>
      <c r="T8" s="477">
        <f t="shared" si="0"/>
        <v>11990</v>
      </c>
      <c r="U8" s="2269">
        <f>[3]面积表!$D$8</f>
        <v>21504.07</v>
      </c>
      <c r="V8" s="477">
        <f t="shared" si="1"/>
        <v>25783</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v>0.83399999999999996</v>
      </c>
      <c r="T9" s="477">
        <f t="shared" si="0"/>
        <v>11956</v>
      </c>
      <c r="U9" s="2269">
        <f>[3]面积表!$D$9</f>
        <v>18700.060000000001</v>
      </c>
      <c r="V9" s="477">
        <f t="shared" si="1"/>
        <v>22358</v>
      </c>
      <c r="W9" s="3264"/>
      <c r="X9" s="2299" t="s">
        <v>2716</v>
      </c>
      <c r="Y9" s="2300">
        <v>11</v>
      </c>
      <c r="Z9" s="2301">
        <f>$Y$9</f>
        <v>11</v>
      </c>
      <c r="AA9" s="2301">
        <f t="shared" ref="AA9:AJ9" si="2">$Y$9</f>
        <v>11</v>
      </c>
      <c r="AB9" s="2301">
        <f t="shared" si="2"/>
        <v>11</v>
      </c>
      <c r="AC9" s="2301">
        <f t="shared" si="2"/>
        <v>11</v>
      </c>
      <c r="AD9" s="2301">
        <f t="shared" si="2"/>
        <v>11</v>
      </c>
      <c r="AE9" s="2301">
        <f t="shared" si="2"/>
        <v>11</v>
      </c>
      <c r="AF9" s="2301">
        <f t="shared" si="2"/>
        <v>11</v>
      </c>
      <c r="AG9" s="2301">
        <f t="shared" si="2"/>
        <v>11</v>
      </c>
      <c r="AH9" s="2301">
        <f t="shared" si="2"/>
        <v>11</v>
      </c>
      <c r="AI9" s="2301">
        <f t="shared" si="2"/>
        <v>11</v>
      </c>
      <c r="AJ9" s="2301">
        <f t="shared" si="2"/>
        <v>11</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v>0.83150000000000002</v>
      </c>
      <c r="T10" s="477">
        <f t="shared" si="0"/>
        <v>11920</v>
      </c>
      <c r="U10" s="2269">
        <f>[3]面积表!$D$10</f>
        <v>14749.29</v>
      </c>
      <c r="V10" s="477">
        <f t="shared" si="1"/>
        <v>17581</v>
      </c>
      <c r="W10" s="3264"/>
      <c r="X10" s="2299">
        <v>6</v>
      </c>
      <c r="Y10" s="2302">
        <f>ROUND((-0.5556*(Y9^2)-0.2719*Y9+8944)*(10^(-4)),4)</f>
        <v>0.88739999999999997</v>
      </c>
      <c r="Z10" s="2302">
        <f>ROUND((-0.5556*(Z9^2)-0.2719*Z9+8944)*(10^(-4)),4)</f>
        <v>0.88739999999999997</v>
      </c>
      <c r="AA10" s="2302">
        <f>ROUND((-0.7912*(AA9^2)-11.3794*AA9+8482)*(10^(-4)),4)</f>
        <v>0.82609999999999995</v>
      </c>
      <c r="AB10" s="2302">
        <f>ROUND((-0.7912*(AB9^2)-11.3794*AB9+8482)*(10^(-4)),4)</f>
        <v>0.82609999999999995</v>
      </c>
      <c r="AC10" s="2302">
        <f>ROUND((-0.7912*(AC9^2)-11.3794*AC9+8482)*(10^(-4)),4)</f>
        <v>0.82609999999999995</v>
      </c>
      <c r="AD10" s="2302">
        <f>ROUND((-0.7912*(AD9^2)-11.3794*AD9+8482)*(10^(-4)),4)</f>
        <v>0.82609999999999995</v>
      </c>
      <c r="AE10" s="2302">
        <f>ROUND((-0.7912*(AE9^2)-11.3794*AE9+8482)*(10^(-4)),4)</f>
        <v>0.82609999999999995</v>
      </c>
      <c r="AF10" s="2302">
        <f>ROUND((-0.989*(AF9^2)-63.78*AF9+7771)*(10^(-4)),4)</f>
        <v>0.69499999999999995</v>
      </c>
      <c r="AG10" s="2302">
        <f>ROUND((-0.989*(AG9^2)-63.78*AG9+7771)*(10^(-4)),4)</f>
        <v>0.69499999999999995</v>
      </c>
      <c r="AH10" s="2302">
        <f>ROUND((-0.989*(AH9^2)-63.78*AH9+7771)*(10^(-4)),4)</f>
        <v>0.69499999999999995</v>
      </c>
      <c r="AI10" s="2302">
        <f>ROUND((-0.989*(AI9^2)-63.78*AI9+7771)*(10^(-4)),4)</f>
        <v>0.69499999999999995</v>
      </c>
      <c r="AJ10" s="2302">
        <f>ROUND((-0.989*(AJ9^2)-63.78*AJ9+7771)*(10^(-4)),4)</f>
        <v>0.69499999999999995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v>0.82889999999999997</v>
      </c>
      <c r="T11" s="477">
        <f t="shared" si="0"/>
        <v>11883</v>
      </c>
      <c r="U11" s="2269">
        <f>[3]面积表!$D$11</f>
        <v>14967.36</v>
      </c>
      <c r="V11" s="477">
        <f t="shared" si="1"/>
        <v>17786</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v>0.82609999999999995</v>
      </c>
      <c r="T12" s="477">
        <f t="shared" si="0"/>
        <v>11842</v>
      </c>
      <c r="U12" s="2269">
        <f>[3]面积表!$D$12</f>
        <v>8410.25</v>
      </c>
      <c r="V12" s="477">
        <f t="shared" si="1"/>
        <v>9959</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-20</v>
      </c>
      <c r="D20" s="3269" t="s">
        <v>2237</v>
      </c>
      <c r="E20" s="3270"/>
      <c r="F20" s="3269" t="s">
        <v>2234</v>
      </c>
      <c r="G20" s="3270"/>
      <c r="H20" s="2347" t="s">
        <v>3097</v>
      </c>
      <c r="I20" s="2347" t="s">
        <v>3098</v>
      </c>
      <c r="J20" s="2989" t="s">
        <v>3099</v>
      </c>
      <c r="K20" s="2347" t="s">
        <v>3100</v>
      </c>
      <c r="L20" s="2347" t="s">
        <v>3101</v>
      </c>
      <c r="M20" s="2347" t="s">
        <v>3102</v>
      </c>
      <c r="N20" s="2347" t="s">
        <v>3103</v>
      </c>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3090</v>
      </c>
      <c r="G21" s="485">
        <f>SUM(H21:O21)</f>
        <v>265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40</v>
      </c>
      <c r="N21" s="482">
        <f>SUMPRODUCT((七通一平=N20)*(修正!B1:M1=G2)*(修正!B8:M16))</f>
        <v>15</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44798</v>
      </c>
      <c r="H23" s="2361" t="s">
        <v>3104</v>
      </c>
      <c r="I23" s="2360" t="str">
        <f>IF(H23="季度增幅（自定义）",SUMIF(N25:N28,E2,O25:O28),"")</f>
        <v/>
      </c>
      <c r="J23" s="2982" t="s">
        <v>3105</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0.78290000000000004</v>
      </c>
      <c r="D24" s="2365" t="s">
        <v>2246</v>
      </c>
      <c r="E24" s="2365">
        <f>存贷款利率!E20/100</f>
        <v>4.3499999999999997E-2</v>
      </c>
      <c r="F24" s="2365" t="s">
        <v>2238</v>
      </c>
      <c r="G24" s="2366">
        <f>SUMIF(M30:Q30,E2,M33:Q33)</f>
        <v>5.5E-2</v>
      </c>
      <c r="H24" s="2365" t="s">
        <v>2247</v>
      </c>
      <c r="I24" s="2367">
        <f>项目基本情况!E15</f>
        <v>21.93</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3108</v>
      </c>
      <c r="C25" s="491">
        <f>IF(B25="容积率修正",IF(G3&lt;10,D26,J26),C27)</f>
        <v>0.82609999999999995</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0.88119999999999998</v>
      </c>
      <c r="E26" s="493">
        <f>ROUNDDOWN(G3,1)</f>
        <v>6.1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0.88229999999999997</v>
      </c>
      <c r="G26" s="493">
        <f>ROUNDUP(G3,1)</f>
        <v>6.1999999999999993</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0.82609999999999995</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1.085</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285128</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71282</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11842</v>
      </c>
      <c r="D33" s="2420">
        <f>'[3]数据-基础表'!$I$13</f>
        <v>207366.83</v>
      </c>
      <c r="E33" s="2421">
        <f>ROUND(C33*D33/10000,0)</f>
        <v>245564</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421">
        <f>ROUND(IF(B25="楼层修正",SUM(V2:V16)*M41,C34*D34/10000),0)</f>
        <v>71282</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8601</v>
      </c>
      <c r="D37" s="2420"/>
      <c r="E37" s="473">
        <f>ROUND(C37*D37/10000,0)</f>
        <v>0</v>
      </c>
      <c r="F37" s="473">
        <f>SUMIF(修正!A57:A68,G2,修正!B57:B68)</f>
        <v>0.6</v>
      </c>
      <c r="G37" s="473">
        <f>ROUND(IF(E2="工业",C37*$M$42,C37*$M$41),0)</f>
        <v>2150</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4301</v>
      </c>
      <c r="D38" s="2420"/>
      <c r="E38" s="473">
        <f t="shared" ref="E38:E42" si="4">ROUND(C38*D38/10000,0)</f>
        <v>0</v>
      </c>
      <c r="F38" s="473">
        <f>SUMIF(修正!A57:A68,G2,修正!C57:C68)</f>
        <v>0.3</v>
      </c>
      <c r="G38" s="473">
        <f>ROUND(IF(E2="工业",C38*$M$42,C38*$M$41),0)</f>
        <v>1075</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3584</v>
      </c>
      <c r="D39" s="2420"/>
      <c r="E39" s="473">
        <f t="shared" si="4"/>
        <v>0</v>
      </c>
      <c r="F39" s="473">
        <f>SUMIF(修正!A57:A68,G2,修正!D57:D68)</f>
        <v>0.25</v>
      </c>
      <c r="G39" s="473">
        <f>ROUND(IF(E2="工业",C39*$M$42,C39*$M$41),0)</f>
        <v>896</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3584</v>
      </c>
      <c r="D40" s="2420"/>
      <c r="E40" s="473">
        <f t="shared" si="4"/>
        <v>0</v>
      </c>
      <c r="F40" s="495">
        <f>SUMIF(修正!A57:A68,G2,修正!E57:E68)</f>
        <v>0.25</v>
      </c>
      <c r="G40" s="473">
        <f>ROUND(IF(E2="工业",C40*$M$42,C40*$M$41),0)</f>
        <v>896</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1.085</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3106</v>
      </c>
      <c r="D51" s="499">
        <f t="shared" ref="D51:D59" si="7">SUMIF($J$50:$N$50,C51,J51:N51)</f>
        <v>0.03</v>
      </c>
      <c r="E51" s="2458">
        <f>ROUND(SUM(D51:D59),4)</f>
        <v>8.5000000000000006E-2</v>
      </c>
      <c r="F51" s="2329">
        <f>IF(E2="商业",SUMIF(L1:L12,G2,N1:N12),"——")</f>
        <v>0.1</v>
      </c>
      <c r="G51" s="2459">
        <f>H51</f>
        <v>1.4999999999999999E-2</v>
      </c>
      <c r="H51" s="2460">
        <f t="shared" ref="H51:H59" si="8">IFERROR(ROUNDDOWN($F$51*I51/2,4),"——")</f>
        <v>1.4999999999999999E-2</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5" t="s">
        <v>2292</v>
      </c>
      <c r="B52" s="499" t="str">
        <f>估价对象房地状况!C18</f>
        <v>估价对象周边道路状况、公共交通通达情况、停车便捷程度，综合评价交通便捷度较好</v>
      </c>
      <c r="C52" s="2325" t="s">
        <v>3106</v>
      </c>
      <c r="D52" s="499">
        <f t="shared" si="7"/>
        <v>2.1999999999999999E-2</v>
      </c>
      <c r="E52" s="2461"/>
      <c r="F52" s="2402"/>
      <c r="G52" s="2459">
        <f t="shared" ref="G52:G59" si="12">H52</f>
        <v>1.0999999999999999E-2</v>
      </c>
      <c r="H52" s="2460">
        <f t="shared" si="8"/>
        <v>1.0999999999999999E-2</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2" t="s">
        <v>2814</v>
      </c>
      <c r="B53" s="499">
        <f>估价对象房地状况!C19</f>
        <v>0</v>
      </c>
      <c r="C53" s="2325" t="s">
        <v>3107</v>
      </c>
      <c r="D53" s="499">
        <f t="shared" si="7"/>
        <v>6.0000000000000001E-3</v>
      </c>
      <c r="E53" s="2461"/>
      <c r="F53" s="2402"/>
      <c r="G53" s="2459">
        <f t="shared" si="12"/>
        <v>6.0000000000000001E-3</v>
      </c>
      <c r="H53" s="2460">
        <f t="shared" si="8"/>
        <v>6.0000000000000001E-3</v>
      </c>
      <c r="I53" s="499">
        <v>0.12</v>
      </c>
      <c r="J53" s="493">
        <f t="shared" si="9"/>
        <v>1.2E-2</v>
      </c>
      <c r="K53" s="493">
        <f t="shared" si="10"/>
        <v>6.0000000000000001E-3</v>
      </c>
      <c r="L53" s="493">
        <v>0</v>
      </c>
      <c r="M53" s="493">
        <f t="shared" si="11"/>
        <v>-6.0000000000000001E-3</v>
      </c>
      <c r="N53" s="493">
        <f t="shared" si="11"/>
        <v>-1.2E-2</v>
      </c>
    </row>
    <row r="54" spans="1:14" s="2259" customFormat="1" ht="36.75">
      <c r="A54" s="2455" t="s">
        <v>2293</v>
      </c>
      <c r="B54" s="2463" t="s">
        <v>2294</v>
      </c>
      <c r="C54" s="2325" t="s">
        <v>3107</v>
      </c>
      <c r="D54" s="499">
        <f t="shared" si="7"/>
        <v>2.5000000000000001E-3</v>
      </c>
      <c r="E54" s="2461"/>
      <c r="F54" s="2402"/>
      <c r="G54" s="2459">
        <f t="shared" si="12"/>
        <v>2.5000000000000001E-3</v>
      </c>
      <c r="H54" s="2460">
        <f t="shared" si="8"/>
        <v>2.5000000000000001E-3</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5" t="s">
        <v>2295</v>
      </c>
      <c r="B55" s="499">
        <f>估价对象房地状况!C24</f>
        <v>0</v>
      </c>
      <c r="C55" s="2325" t="s">
        <v>3107</v>
      </c>
      <c r="D55" s="499">
        <f t="shared" si="7"/>
        <v>4.0000000000000001E-3</v>
      </c>
      <c r="E55" s="2461"/>
      <c r="F55" s="2402"/>
      <c r="G55" s="2459">
        <f t="shared" si="12"/>
        <v>4.0000000000000001E-3</v>
      </c>
      <c r="H55" s="2460">
        <f t="shared" si="8"/>
        <v>4.0000000000000001E-3</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5" t="s">
        <v>2296</v>
      </c>
      <c r="B56" s="2464" t="s">
        <v>2297</v>
      </c>
      <c r="C56" s="2325" t="s">
        <v>3106</v>
      </c>
      <c r="D56" s="499">
        <f t="shared" si="7"/>
        <v>5.0000000000000001E-3</v>
      </c>
      <c r="E56" s="2461"/>
      <c r="F56" s="2402"/>
      <c r="G56" s="2459">
        <f t="shared" si="12"/>
        <v>2.5000000000000001E-3</v>
      </c>
      <c r="H56" s="2460">
        <f t="shared" si="8"/>
        <v>2.5000000000000001E-3</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5" t="s">
        <v>2298</v>
      </c>
      <c r="B57" s="999" t="str">
        <f>估价对象房地状况!C21</f>
        <v>估价对象所在区域公共配套设施齐备情况</v>
      </c>
      <c r="C57" s="2325" t="s">
        <v>3106</v>
      </c>
      <c r="D57" s="499">
        <f t="shared" si="7"/>
        <v>5.0000000000000001E-3</v>
      </c>
      <c r="E57" s="2461"/>
      <c r="F57" s="2402"/>
      <c r="G57" s="2459">
        <f t="shared" si="12"/>
        <v>2.5000000000000001E-3</v>
      </c>
      <c r="H57" s="2460">
        <f t="shared" si="8"/>
        <v>2.5000000000000001E-3</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5" t="s">
        <v>2299</v>
      </c>
      <c r="B58" s="499" t="str">
        <f>估价对象房地状况!C22</f>
        <v>估价对象所在区域基础设施水平</v>
      </c>
      <c r="C58" s="2325" t="s">
        <v>3106</v>
      </c>
      <c r="D58" s="499">
        <f t="shared" si="7"/>
        <v>8.0000000000000002E-3</v>
      </c>
      <c r="E58" s="2461"/>
      <c r="F58" s="2402"/>
      <c r="G58" s="2459">
        <f t="shared" si="12"/>
        <v>4.0000000000000001E-3</v>
      </c>
      <c r="H58" s="2460">
        <f t="shared" si="8"/>
        <v>4.0000000000000001E-3</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6" t="s">
        <v>2300</v>
      </c>
      <c r="B59" s="2467" t="str">
        <f>估价对象房地状况!C20</f>
        <v>区域自然环境：；人文环境；综合评价环境状况一般</v>
      </c>
      <c r="C59" s="2325" t="s">
        <v>3107</v>
      </c>
      <c r="D59" s="499">
        <f t="shared" si="7"/>
        <v>2.5000000000000001E-3</v>
      </c>
      <c r="E59" s="487"/>
      <c r="F59" s="2402"/>
      <c r="G59" s="2459">
        <f t="shared" si="12"/>
        <v>2.5000000000000001E-3</v>
      </c>
      <c r="H59" s="2460">
        <f t="shared" si="8"/>
        <v>2.5000000000000001E-3</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3">IFERROR(ROUNDDOWN($F$62*I62/2,4),"——")</f>
        <v>——</v>
      </c>
      <c r="I62" s="499">
        <v>0.25</v>
      </c>
      <c r="J62" s="493">
        <f t="shared" ref="J62:J70" si="14">K62+$G62</f>
        <v>0</v>
      </c>
      <c r="K62" s="493">
        <f t="shared" ref="K62:K70" si="15">$L62+$G62</f>
        <v>0</v>
      </c>
      <c r="L62" s="493">
        <v>0</v>
      </c>
      <c r="M62" s="493">
        <f t="shared" ref="M62:N70" si="16">L62-$G62</f>
        <v>0</v>
      </c>
      <c r="N62" s="493">
        <f t="shared" si="16"/>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7">SUMIF($J$61:$N$61,C63,J63:N63)</f>
        <v>0</v>
      </c>
      <c r="E63" s="2461"/>
      <c r="F63" s="2402"/>
      <c r="G63" s="2459"/>
      <c r="H63" s="2460" t="str">
        <f t="shared" si="13"/>
        <v>——</v>
      </c>
      <c r="I63" s="499">
        <v>0.26</v>
      </c>
      <c r="J63" s="493">
        <f t="shared" si="14"/>
        <v>0</v>
      </c>
      <c r="K63" s="493">
        <f t="shared" si="15"/>
        <v>0</v>
      </c>
      <c r="L63" s="493">
        <v>0</v>
      </c>
      <c r="M63" s="493">
        <f t="shared" si="16"/>
        <v>0</v>
      </c>
      <c r="N63" s="493">
        <f t="shared" si="16"/>
        <v>0</v>
      </c>
    </row>
    <row r="64" spans="1:14" s="2259" customFormat="1" ht="36">
      <c r="A64" s="2462" t="s">
        <v>2814</v>
      </c>
      <c r="B64" s="499">
        <f>估价对象房地状况!C19</f>
        <v>0</v>
      </c>
      <c r="C64" s="2325"/>
      <c r="D64" s="499">
        <f t="shared" si="17"/>
        <v>0</v>
      </c>
      <c r="E64" s="2461"/>
      <c r="F64" s="2402"/>
      <c r="G64" s="2459"/>
      <c r="H64" s="2460" t="str">
        <f t="shared" si="13"/>
        <v>——</v>
      </c>
      <c r="I64" s="499">
        <v>0.11</v>
      </c>
      <c r="J64" s="493">
        <f t="shared" si="14"/>
        <v>0</v>
      </c>
      <c r="K64" s="493">
        <f t="shared" si="15"/>
        <v>0</v>
      </c>
      <c r="L64" s="493">
        <v>0</v>
      </c>
      <c r="M64" s="493">
        <f t="shared" si="16"/>
        <v>0</v>
      </c>
      <c r="N64" s="493">
        <f t="shared" si="16"/>
        <v>0</v>
      </c>
    </row>
    <row r="65" spans="1:33" s="2259" customFormat="1" ht="36.75">
      <c r="A65" s="2455" t="s">
        <v>2293</v>
      </c>
      <c r="B65" s="2463" t="s">
        <v>2294</v>
      </c>
      <c r="C65" s="2325"/>
      <c r="D65" s="499">
        <f t="shared" si="17"/>
        <v>0</v>
      </c>
      <c r="E65" s="2461"/>
      <c r="F65" s="2402"/>
      <c r="G65" s="2459"/>
      <c r="H65" s="2460" t="str">
        <f t="shared" si="13"/>
        <v>——</v>
      </c>
      <c r="I65" s="499">
        <v>0.05</v>
      </c>
      <c r="J65" s="493">
        <f t="shared" si="14"/>
        <v>0</v>
      </c>
      <c r="K65" s="493">
        <f t="shared" si="15"/>
        <v>0</v>
      </c>
      <c r="L65" s="493">
        <v>0</v>
      </c>
      <c r="M65" s="493">
        <f t="shared" si="16"/>
        <v>0</v>
      </c>
      <c r="N65" s="493">
        <f t="shared" si="16"/>
        <v>0</v>
      </c>
    </row>
    <row r="66" spans="1:33" s="2259" customFormat="1" ht="24">
      <c r="A66" s="2455" t="s">
        <v>2295</v>
      </c>
      <c r="B66" s="499">
        <f>估价对象房地状况!C24</f>
        <v>0</v>
      </c>
      <c r="C66" s="2325"/>
      <c r="D66" s="499">
        <f t="shared" si="17"/>
        <v>0</v>
      </c>
      <c r="E66" s="2461"/>
      <c r="F66" s="2402"/>
      <c r="G66" s="2459"/>
      <c r="H66" s="2460" t="str">
        <f t="shared" si="13"/>
        <v>——</v>
      </c>
      <c r="I66" s="499">
        <v>0.05</v>
      </c>
      <c r="J66" s="493">
        <f t="shared" si="14"/>
        <v>0</v>
      </c>
      <c r="K66" s="493">
        <f t="shared" si="15"/>
        <v>0</v>
      </c>
      <c r="L66" s="493">
        <v>0</v>
      </c>
      <c r="M66" s="493">
        <f t="shared" si="16"/>
        <v>0</v>
      </c>
      <c r="N66" s="493">
        <f t="shared" si="16"/>
        <v>0</v>
      </c>
    </row>
    <row r="67" spans="1:33" s="2259" customFormat="1" ht="24">
      <c r="A67" s="2455" t="s">
        <v>2296</v>
      </c>
      <c r="B67" s="2464" t="s">
        <v>2297</v>
      </c>
      <c r="C67" s="2325"/>
      <c r="D67" s="499">
        <f t="shared" si="17"/>
        <v>0</v>
      </c>
      <c r="E67" s="2461"/>
      <c r="F67" s="2402"/>
      <c r="G67" s="2459"/>
      <c r="H67" s="2460" t="str">
        <f t="shared" si="13"/>
        <v>——</v>
      </c>
      <c r="I67" s="499">
        <v>0.06</v>
      </c>
      <c r="J67" s="493">
        <f t="shared" si="14"/>
        <v>0</v>
      </c>
      <c r="K67" s="493">
        <f t="shared" si="15"/>
        <v>0</v>
      </c>
      <c r="L67" s="493">
        <v>0</v>
      </c>
      <c r="M67" s="493">
        <f t="shared" si="16"/>
        <v>0</v>
      </c>
      <c r="N67" s="493">
        <f t="shared" si="16"/>
        <v>0</v>
      </c>
    </row>
    <row r="68" spans="1:33" s="2259" customFormat="1" ht="25.5">
      <c r="A68" s="2455" t="s">
        <v>2298</v>
      </c>
      <c r="B68" s="999" t="str">
        <f>估价对象房地状况!C21</f>
        <v>估价对象所在区域公共配套设施齐备情况</v>
      </c>
      <c r="C68" s="2325"/>
      <c r="D68" s="499">
        <f t="shared" si="17"/>
        <v>0</v>
      </c>
      <c r="E68" s="2461"/>
      <c r="F68" s="2402"/>
      <c r="G68" s="2459"/>
      <c r="H68" s="2460" t="str">
        <f t="shared" si="13"/>
        <v>——</v>
      </c>
      <c r="I68" s="499">
        <v>0.06</v>
      </c>
      <c r="J68" s="493">
        <f t="shared" si="14"/>
        <v>0</v>
      </c>
      <c r="K68" s="493">
        <f t="shared" si="15"/>
        <v>0</v>
      </c>
      <c r="L68" s="493">
        <v>0</v>
      </c>
      <c r="M68" s="493">
        <f t="shared" si="16"/>
        <v>0</v>
      </c>
      <c r="N68" s="493">
        <f t="shared" si="16"/>
        <v>0</v>
      </c>
    </row>
    <row r="69" spans="1:33" s="2259" customFormat="1" ht="24">
      <c r="A69" s="2455" t="s">
        <v>2299</v>
      </c>
      <c r="B69" s="999" t="str">
        <f>估价对象房地状况!C22</f>
        <v>估价对象所在区域基础设施水平</v>
      </c>
      <c r="C69" s="2325"/>
      <c r="D69" s="499">
        <f t="shared" si="17"/>
        <v>0</v>
      </c>
      <c r="E69" s="2461"/>
      <c r="F69" s="2402"/>
      <c r="G69" s="2459"/>
      <c r="H69" s="2460" t="str">
        <f t="shared" si="13"/>
        <v>——</v>
      </c>
      <c r="I69" s="499">
        <v>0.09</v>
      </c>
      <c r="J69" s="493">
        <f t="shared" si="14"/>
        <v>0</v>
      </c>
      <c r="K69" s="493">
        <f t="shared" si="15"/>
        <v>0</v>
      </c>
      <c r="L69" s="493">
        <v>0</v>
      </c>
      <c r="M69" s="493">
        <f t="shared" si="16"/>
        <v>0</v>
      </c>
      <c r="N69" s="493">
        <f t="shared" si="16"/>
        <v>0</v>
      </c>
    </row>
    <row r="70" spans="1:33" s="2259" customFormat="1" ht="26.25" thickBot="1">
      <c r="A70" s="2466" t="s">
        <v>2300</v>
      </c>
      <c r="B70" s="2468" t="str">
        <f>估价对象房地状况!C20</f>
        <v>区域自然环境：；人文环境；综合评价环境状况一般</v>
      </c>
      <c r="C70" s="2325"/>
      <c r="D70" s="499">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8">SUMIF($J$72:$N$72,C73,J73:N73)</f>
        <v>0</v>
      </c>
      <c r="E73" s="2458">
        <f>ROUND(SUM(D73:D81),4)</f>
        <v>0</v>
      </c>
      <c r="F73" s="2329" t="str">
        <f>IF(E2="住宅",SUMIF(L1:L12,G2,N1:N12),"——")</f>
        <v>——</v>
      </c>
      <c r="G73" s="2459"/>
      <c r="H73" s="2460"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8"/>
        <v>0</v>
      </c>
      <c r="E74" s="2461"/>
      <c r="F74" s="2329"/>
      <c r="G74" s="2459"/>
      <c r="H74" s="2460"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62" t="s">
        <v>2814</v>
      </c>
      <c r="B75" s="499">
        <f>估价对象房地状况!C19</f>
        <v>0</v>
      </c>
      <c r="C75" s="2325"/>
      <c r="D75" s="499">
        <f t="shared" si="18"/>
        <v>0</v>
      </c>
      <c r="E75" s="2461"/>
      <c r="F75" s="2329"/>
      <c r="G75" s="2459"/>
      <c r="H75" s="2460"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4.25">
      <c r="A76" s="2455" t="s">
        <v>2305</v>
      </c>
      <c r="B76" s="499">
        <f>估价对象房地状况!C24</f>
        <v>0</v>
      </c>
      <c r="C76" s="2325"/>
      <c r="D76" s="499">
        <f t="shared" si="18"/>
        <v>0</v>
      </c>
      <c r="E76" s="2461"/>
      <c r="F76" s="2329"/>
      <c r="G76" s="2459"/>
      <c r="H76" s="2460"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5.5">
      <c r="A77" s="2455" t="s">
        <v>2298</v>
      </c>
      <c r="B77" s="999" t="str">
        <f>估价对象房地状况!C21</f>
        <v>估价对象所在区域公共配套设施齐备情况</v>
      </c>
      <c r="C77" s="2325"/>
      <c r="D77" s="499">
        <f t="shared" si="18"/>
        <v>0</v>
      </c>
      <c r="E77" s="2461"/>
      <c r="F77" s="2329"/>
      <c r="G77" s="2459"/>
      <c r="H77" s="2460"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4">
      <c r="A78" s="2455" t="s">
        <v>2299</v>
      </c>
      <c r="B78" s="999" t="str">
        <f>估价对象房地状况!C22</f>
        <v>估价对象所在区域基础设施水平</v>
      </c>
      <c r="C78" s="2325"/>
      <c r="D78" s="499">
        <f t="shared" si="18"/>
        <v>0</v>
      </c>
      <c r="E78" s="2461"/>
      <c r="F78" s="2329"/>
      <c r="G78" s="2459"/>
      <c r="H78" s="2460"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24">
      <c r="A79" s="2455" t="s">
        <v>2296</v>
      </c>
      <c r="B79" s="2464" t="s">
        <v>2297</v>
      </c>
      <c r="C79" s="2325"/>
      <c r="D79" s="499">
        <f t="shared" si="18"/>
        <v>0</v>
      </c>
      <c r="E79" s="2461"/>
      <c r="F79" s="2329"/>
      <c r="G79" s="2459"/>
      <c r="H79" s="2460" t="str">
        <f t="shared" si="19"/>
        <v>——</v>
      </c>
      <c r="I79" s="499">
        <v>0.05</v>
      </c>
      <c r="J79" s="493">
        <f t="shared" si="20"/>
        <v>0</v>
      </c>
      <c r="K79" s="493">
        <f t="shared" si="21"/>
        <v>0</v>
      </c>
      <c r="L79" s="493">
        <v>0</v>
      </c>
      <c r="M79" s="493">
        <f t="shared" si="22"/>
        <v>0</v>
      </c>
      <c r="N79" s="493">
        <f t="shared" si="22"/>
        <v>0</v>
      </c>
      <c r="AA79" s="2261"/>
      <c r="AG79" s="2259"/>
    </row>
    <row r="80" spans="1:33" ht="25.5">
      <c r="A80" s="2455" t="s">
        <v>2300</v>
      </c>
      <c r="B80" s="499" t="str">
        <f>估价对象房地状况!C20</f>
        <v>区域自然环境：；人文环境；综合评价环境状况一般</v>
      </c>
      <c r="C80" s="2325"/>
      <c r="D80" s="499">
        <f t="shared" si="18"/>
        <v>0</v>
      </c>
      <c r="E80" s="2461"/>
      <c r="F80" s="2329"/>
      <c r="G80" s="2459"/>
      <c r="H80" s="2460" t="str">
        <f t="shared" si="19"/>
        <v>——</v>
      </c>
      <c r="I80" s="499">
        <v>0.12</v>
      </c>
      <c r="J80" s="493">
        <f t="shared" si="20"/>
        <v>0</v>
      </c>
      <c r="K80" s="493">
        <f t="shared" si="21"/>
        <v>0</v>
      </c>
      <c r="L80" s="493">
        <v>0</v>
      </c>
      <c r="M80" s="493">
        <f t="shared" si="22"/>
        <v>0</v>
      </c>
      <c r="N80" s="493">
        <f t="shared" si="22"/>
        <v>0</v>
      </c>
      <c r="AA80" s="2261"/>
      <c r="AG80" s="2259"/>
    </row>
    <row r="81" spans="1:33" ht="24.75" thickBot="1">
      <c r="A81" s="2466" t="s">
        <v>2306</v>
      </c>
      <c r="B81" s="2472"/>
      <c r="C81" s="2325"/>
      <c r="D81" s="499">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3">SUMIF($J$83:$N$83,C84,J84:N84)</f>
        <v>0</v>
      </c>
      <c r="E84" s="2458">
        <f>ROUND(SUM(D84:D91),4)</f>
        <v>0</v>
      </c>
      <c r="F84" s="2329" t="str">
        <f>IF(E2="工业",SUMIF(L1:L12,G2,N1:N12),"——")</f>
        <v>——</v>
      </c>
      <c r="G84" s="2459"/>
      <c r="H84" s="2460"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3"/>
        <v>0</v>
      </c>
      <c r="E85" s="2461"/>
      <c r="F85" s="2329"/>
      <c r="G85" s="2459"/>
      <c r="H85" s="2460" t="str">
        <f t="shared" si="24"/>
        <v>——</v>
      </c>
      <c r="I85" s="499">
        <v>0.3</v>
      </c>
      <c r="J85" s="493">
        <f t="shared" si="25"/>
        <v>0</v>
      </c>
      <c r="K85" s="493">
        <f t="shared" si="26"/>
        <v>0</v>
      </c>
      <c r="L85" s="493">
        <v>0</v>
      </c>
      <c r="M85" s="493">
        <f t="shared" si="27"/>
        <v>0</v>
      </c>
      <c r="N85" s="493">
        <f t="shared" si="27"/>
        <v>0</v>
      </c>
      <c r="AA85" s="2261"/>
      <c r="AG85" s="2259"/>
    </row>
    <row r="86" spans="1:33" ht="36">
      <c r="A86" s="2462" t="s">
        <v>2815</v>
      </c>
      <c r="B86" s="499">
        <f>估价对象房地状况!G17</f>
        <v>0</v>
      </c>
      <c r="C86" s="2325"/>
      <c r="D86" s="499">
        <f t="shared" si="23"/>
        <v>0</v>
      </c>
      <c r="E86" s="2461"/>
      <c r="F86" s="2329"/>
      <c r="G86" s="2459"/>
      <c r="H86" s="2460" t="str">
        <f t="shared" si="24"/>
        <v>——</v>
      </c>
      <c r="I86" s="499">
        <v>0.1</v>
      </c>
      <c r="J86" s="493">
        <f t="shared" si="25"/>
        <v>0</v>
      </c>
      <c r="K86" s="493">
        <f t="shared" si="26"/>
        <v>0</v>
      </c>
      <c r="L86" s="493">
        <v>0</v>
      </c>
      <c r="M86" s="493">
        <f t="shared" si="27"/>
        <v>0</v>
      </c>
      <c r="N86" s="493">
        <f t="shared" si="27"/>
        <v>0</v>
      </c>
      <c r="AA86" s="2261"/>
      <c r="AG86" s="2259"/>
    </row>
    <row r="87" spans="1:33" ht="14.25">
      <c r="A87" s="2455" t="s">
        <v>2305</v>
      </c>
      <c r="B87" s="499">
        <f>估价对象房地状况!G22</f>
        <v>0</v>
      </c>
      <c r="C87" s="2325"/>
      <c r="D87" s="499">
        <f t="shared" si="23"/>
        <v>0</v>
      </c>
      <c r="E87" s="2461"/>
      <c r="F87" s="2329"/>
      <c r="G87" s="2459"/>
      <c r="H87" s="2460" t="str">
        <f t="shared" si="24"/>
        <v>——</v>
      </c>
      <c r="I87" s="499">
        <v>0.05</v>
      </c>
      <c r="J87" s="493">
        <f t="shared" si="25"/>
        <v>0</v>
      </c>
      <c r="K87" s="493">
        <f t="shared" si="26"/>
        <v>0</v>
      </c>
      <c r="L87" s="493">
        <v>0</v>
      </c>
      <c r="M87" s="493">
        <f t="shared" si="27"/>
        <v>0</v>
      </c>
      <c r="N87" s="493">
        <f t="shared" si="27"/>
        <v>0</v>
      </c>
      <c r="AA87" s="2261"/>
      <c r="AG87" s="2259"/>
    </row>
    <row r="88" spans="1:33" ht="25.5">
      <c r="A88" s="2455" t="s">
        <v>2298</v>
      </c>
      <c r="B88" s="999" t="str">
        <f>估价对象房地状况!G19</f>
        <v>估价对象所在区域公共配套设施齐备情况</v>
      </c>
      <c r="C88" s="2325"/>
      <c r="D88" s="499">
        <f t="shared" si="23"/>
        <v>0</v>
      </c>
      <c r="E88" s="2461"/>
      <c r="F88" s="2329"/>
      <c r="G88" s="2459"/>
      <c r="H88" s="2460" t="str">
        <f t="shared" si="24"/>
        <v>——</v>
      </c>
      <c r="I88" s="499">
        <v>0.06</v>
      </c>
      <c r="J88" s="493">
        <f t="shared" si="25"/>
        <v>0</v>
      </c>
      <c r="K88" s="493">
        <f t="shared" si="26"/>
        <v>0</v>
      </c>
      <c r="L88" s="493">
        <v>0</v>
      </c>
      <c r="M88" s="493">
        <f t="shared" si="27"/>
        <v>0</v>
      </c>
      <c r="N88" s="493">
        <f t="shared" si="27"/>
        <v>0</v>
      </c>
    </row>
    <row r="89" spans="1:33" ht="24">
      <c r="A89" s="2455" t="s">
        <v>2299</v>
      </c>
      <c r="B89" s="999" t="str">
        <f>估价对象房地状况!G20</f>
        <v>估价对象所在区域基础设施水平</v>
      </c>
      <c r="C89" s="2325"/>
      <c r="D89" s="499">
        <f t="shared" si="23"/>
        <v>0</v>
      </c>
      <c r="E89" s="2461"/>
      <c r="F89" s="2329"/>
      <c r="G89" s="2459"/>
      <c r="H89" s="2460" t="str">
        <f t="shared" si="24"/>
        <v>——</v>
      </c>
      <c r="I89" s="499">
        <v>0.12</v>
      </c>
      <c r="J89" s="493">
        <f t="shared" si="25"/>
        <v>0</v>
      </c>
      <c r="K89" s="493">
        <f t="shared" si="26"/>
        <v>0</v>
      </c>
      <c r="L89" s="493">
        <v>0</v>
      </c>
      <c r="M89" s="493">
        <f t="shared" si="27"/>
        <v>0</v>
      </c>
      <c r="N89" s="493">
        <f t="shared" si="27"/>
        <v>0</v>
      </c>
    </row>
    <row r="90" spans="1:33" ht="24">
      <c r="A90" s="2455" t="s">
        <v>2296</v>
      </c>
      <c r="B90" s="2464" t="s">
        <v>2309</v>
      </c>
      <c r="C90" s="2325"/>
      <c r="D90" s="499">
        <f t="shared" si="23"/>
        <v>0</v>
      </c>
      <c r="E90" s="2461"/>
      <c r="F90" s="2329"/>
      <c r="G90" s="2459"/>
      <c r="H90" s="2460" t="str">
        <f t="shared" si="24"/>
        <v>——</v>
      </c>
      <c r="I90" s="499">
        <v>0.06</v>
      </c>
      <c r="J90" s="493">
        <f t="shared" si="25"/>
        <v>0</v>
      </c>
      <c r="K90" s="493">
        <f t="shared" si="26"/>
        <v>0</v>
      </c>
      <c r="L90" s="493">
        <v>0</v>
      </c>
      <c r="M90" s="493">
        <f t="shared" si="27"/>
        <v>0</v>
      </c>
      <c r="N90" s="493">
        <f t="shared" si="27"/>
        <v>0</v>
      </c>
    </row>
    <row r="91" spans="1:33" ht="39" thickBot="1">
      <c r="A91" s="2466" t="s">
        <v>2310</v>
      </c>
      <c r="B91" s="2468" t="str">
        <f>估价对象房地状况!G18</f>
        <v>该园区内是否有污染型企业，绿化情况，卫生条件，整体环境状况判断</v>
      </c>
      <c r="C91" s="2325"/>
      <c r="D91" s="499">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11</v>
      </c>
      <c r="D112" s="2482">
        <f t="shared" ref="D112:M112" si="34">$I$3</f>
        <v>11</v>
      </c>
      <c r="E112" s="2482">
        <f t="shared" si="34"/>
        <v>11</v>
      </c>
      <c r="F112" s="2482">
        <f t="shared" si="34"/>
        <v>11</v>
      </c>
      <c r="G112" s="2482">
        <f t="shared" si="34"/>
        <v>11</v>
      </c>
      <c r="H112" s="2482">
        <f t="shared" si="34"/>
        <v>11</v>
      </c>
      <c r="I112" s="2482">
        <f t="shared" si="34"/>
        <v>11</v>
      </c>
      <c r="J112" s="2482">
        <f t="shared" si="34"/>
        <v>11</v>
      </c>
      <c r="K112" s="2482">
        <f t="shared" si="34"/>
        <v>11</v>
      </c>
      <c r="L112" s="2482">
        <f t="shared" si="34"/>
        <v>11</v>
      </c>
      <c r="M112" s="2482">
        <f t="shared" si="34"/>
        <v>11</v>
      </c>
      <c r="N112" s="2482">
        <f>$I$3</f>
        <v>11</v>
      </c>
    </row>
    <row r="113" spans="1:14">
      <c r="A113" s="3279"/>
      <c r="B113" s="2421">
        <v>6</v>
      </c>
      <c r="C113" s="502">
        <f>(-0.5556*(C112^2)-0.2719*C112+8944)*(10^(-4))</f>
        <v>0.88737814999999998</v>
      </c>
      <c r="D113" s="502">
        <f>(-0.5556*(D112^2)-0.2719*D112+8944)*(10^(-4))</f>
        <v>0.88737814999999998</v>
      </c>
      <c r="E113" s="502">
        <f>(-0.7912*(E112^2)-11.3794*E112+8482)*(10^(-4))</f>
        <v>0.82610914000000002</v>
      </c>
      <c r="F113" s="502">
        <f t="shared" ref="F113:I113" si="35">(-0.7912*(F112^2)-11.3794*F112+8482)*(10^(-4))</f>
        <v>0.82610914000000002</v>
      </c>
      <c r="G113" s="502">
        <f t="shared" si="35"/>
        <v>0.82610914000000002</v>
      </c>
      <c r="H113" s="502">
        <f t="shared" si="35"/>
        <v>0.82610914000000002</v>
      </c>
      <c r="I113" s="502">
        <f t="shared" si="35"/>
        <v>0.82610914000000002</v>
      </c>
      <c r="J113" s="502">
        <f>(-0.989*(J112^2)-63.78*J112+7771)*(10^(-4))</f>
        <v>0.69497510000000007</v>
      </c>
      <c r="K113" s="502">
        <f t="shared" ref="K113:N113" si="36">(-0.989*(K112^2)-63.78*K112+7771)*(10^(-4))</f>
        <v>0.69497510000000007</v>
      </c>
      <c r="L113" s="502">
        <f t="shared" si="36"/>
        <v>0.69497510000000007</v>
      </c>
      <c r="M113" s="502">
        <f t="shared" si="36"/>
        <v>0.69497510000000007</v>
      </c>
      <c r="N113" s="502">
        <f t="shared" si="36"/>
        <v>0.69497510000000007</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6.15</v>
      </c>
      <c r="C117" s="2365" t="s">
        <v>2318</v>
      </c>
      <c r="D117" s="500">
        <f>SUMPRODUCT((A119:A123=F117)*(B118:M118=H117)*B119:M123)</f>
        <v>0.8629</v>
      </c>
      <c r="E117" s="473" t="s">
        <v>2173</v>
      </c>
      <c r="F117" s="501" t="str">
        <f>E2</f>
        <v>商业</v>
      </c>
      <c r="G117" s="473" t="s">
        <v>2174</v>
      </c>
      <c r="H117" s="501" t="str">
        <f>G2</f>
        <v>四级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0.92920000000000003</v>
      </c>
      <c r="C119" s="502">
        <f>B119</f>
        <v>0.92920000000000003</v>
      </c>
      <c r="D119" s="502">
        <f>ROUND(0.949-0.014*B117,4)</f>
        <v>0.8629</v>
      </c>
      <c r="E119" s="502">
        <f>D119</f>
        <v>0.8629</v>
      </c>
      <c r="F119" s="502">
        <f>E119</f>
        <v>0.8629</v>
      </c>
      <c r="G119" s="502">
        <f>F119</f>
        <v>0.8629</v>
      </c>
      <c r="H119" s="502">
        <f>G119</f>
        <v>0.8629</v>
      </c>
      <c r="I119" s="502">
        <f>ROUND(0.8486-0.018*B117,4)</f>
        <v>0.7379</v>
      </c>
      <c r="J119" s="502">
        <f t="shared" ref="J119:M122" si="37">I119</f>
        <v>0.7379</v>
      </c>
      <c r="K119" s="502">
        <f t="shared" si="37"/>
        <v>0.7379</v>
      </c>
      <c r="L119" s="502">
        <f t="shared" si="37"/>
        <v>0.7379</v>
      </c>
      <c r="M119" s="504">
        <f t="shared" si="37"/>
        <v>0.7379</v>
      </c>
    </row>
    <row r="120" spans="1:14">
      <c r="A120" s="2413" t="s">
        <v>2230</v>
      </c>
      <c r="B120" s="502">
        <f>ROUND(0.993-0.0112*B117,4)</f>
        <v>0.92410000000000003</v>
      </c>
      <c r="C120" s="502">
        <f>B120</f>
        <v>0.92410000000000003</v>
      </c>
      <c r="D120" s="502">
        <f>ROUND(0.9415-0.0142*B117,4)</f>
        <v>0.85419999999999996</v>
      </c>
      <c r="E120" s="502">
        <f t="shared" ref="E120:H121" si="38">D120</f>
        <v>0.85419999999999996</v>
      </c>
      <c r="F120" s="502">
        <f t="shared" si="38"/>
        <v>0.85419999999999996</v>
      </c>
      <c r="G120" s="502">
        <f t="shared" si="38"/>
        <v>0.85419999999999996</v>
      </c>
      <c r="H120" s="502">
        <f t="shared" si="38"/>
        <v>0.85419999999999996</v>
      </c>
      <c r="I120" s="502">
        <f>ROUND(0.838-0.0182*B117,4)</f>
        <v>0.72609999999999997</v>
      </c>
      <c r="J120" s="502">
        <f t="shared" si="37"/>
        <v>0.72609999999999997</v>
      </c>
      <c r="K120" s="502">
        <f t="shared" si="37"/>
        <v>0.72609999999999997</v>
      </c>
      <c r="L120" s="502">
        <f t="shared" si="37"/>
        <v>0.72609999999999997</v>
      </c>
      <c r="M120" s="504">
        <f t="shared" si="37"/>
        <v>0.72609999999999997</v>
      </c>
    </row>
    <row r="121" spans="1:14">
      <c r="A121" s="2413" t="s">
        <v>2231</v>
      </c>
      <c r="B121" s="502">
        <f>ROUND(0.9448-0.0115*B117,4)</f>
        <v>0.87409999999999999</v>
      </c>
      <c r="C121" s="502">
        <f>B121</f>
        <v>0.87409999999999999</v>
      </c>
      <c r="D121" s="502">
        <f>ROUND(0.937-0.0145*B117,4)</f>
        <v>0.8478</v>
      </c>
      <c r="E121" s="502">
        <f t="shared" si="38"/>
        <v>0.8478</v>
      </c>
      <c r="F121" s="502">
        <f t="shared" si="38"/>
        <v>0.8478</v>
      </c>
      <c r="G121" s="502">
        <f t="shared" si="38"/>
        <v>0.8478</v>
      </c>
      <c r="H121" s="502">
        <f t="shared" si="38"/>
        <v>0.8478</v>
      </c>
      <c r="I121" s="502">
        <f>ROUND(0.7965-0.0185*B117,4)</f>
        <v>0.68269999999999997</v>
      </c>
      <c r="J121" s="502">
        <f t="shared" si="37"/>
        <v>0.68269999999999997</v>
      </c>
      <c r="K121" s="502">
        <f t="shared" si="37"/>
        <v>0.68269999999999997</v>
      </c>
      <c r="L121" s="502">
        <f t="shared" si="37"/>
        <v>0.68269999999999997</v>
      </c>
      <c r="M121" s="504">
        <f t="shared" si="37"/>
        <v>0.68269999999999997</v>
      </c>
    </row>
    <row r="122" spans="1:14" ht="13.5" thickBot="1">
      <c r="A122" s="2417" t="s">
        <v>2232</v>
      </c>
      <c r="B122" s="503">
        <f>ROUND(0.7836-0.012*B117,4)</f>
        <v>0.70979999999999999</v>
      </c>
      <c r="C122" s="503">
        <f>B122</f>
        <v>0.70979999999999999</v>
      </c>
      <c r="D122" s="503">
        <f>ROUND(0.753-0.015*B117,4)</f>
        <v>0.66080000000000005</v>
      </c>
      <c r="E122" s="503">
        <f>D122</f>
        <v>0.66080000000000005</v>
      </c>
      <c r="F122" s="503">
        <f>E122</f>
        <v>0.66080000000000005</v>
      </c>
      <c r="G122" s="503">
        <f>ROUND(0.6612-0.018*B117,4)</f>
        <v>0.55049999999999999</v>
      </c>
      <c r="H122" s="503">
        <f>G122</f>
        <v>0.55049999999999999</v>
      </c>
      <c r="I122" s="503">
        <f>ROUND(0.5905-0.019*B117,4)</f>
        <v>0.47370000000000001</v>
      </c>
      <c r="J122" s="503">
        <f t="shared" si="37"/>
        <v>0.47370000000000001</v>
      </c>
      <c r="K122" s="503">
        <f t="shared" si="37"/>
        <v>0.47370000000000001</v>
      </c>
      <c r="L122" s="503">
        <f t="shared" si="37"/>
        <v>0.47370000000000001</v>
      </c>
      <c r="M122" s="505">
        <f t="shared" si="37"/>
        <v>0.47370000000000001</v>
      </c>
    </row>
    <row r="123" spans="1:14">
      <c r="A123" s="2492" t="s">
        <v>2901</v>
      </c>
      <c r="B123" s="502">
        <f>ROUND(0.9404-0.0106*B117,4)</f>
        <v>0.87519999999999998</v>
      </c>
      <c r="C123" s="502">
        <f>B123</f>
        <v>0.87519999999999998</v>
      </c>
      <c r="D123" s="502">
        <f>ROUND(0.8955-0.0135*B117,4)</f>
        <v>0.8125</v>
      </c>
      <c r="E123" s="502">
        <f t="shared" ref="E123" si="39">D123</f>
        <v>0.8125</v>
      </c>
      <c r="F123" s="502">
        <f t="shared" ref="F123" si="40">E123</f>
        <v>0.8125</v>
      </c>
      <c r="G123" s="502">
        <f t="shared" ref="G123" si="41">F123</f>
        <v>0.8125</v>
      </c>
      <c r="H123" s="502">
        <f t="shared" ref="H123" si="42">G123</f>
        <v>0.8125</v>
      </c>
      <c r="I123" s="502">
        <f>ROUND(0.7632-0.0166*B117,4)</f>
        <v>0.66110000000000002</v>
      </c>
      <c r="J123" s="502">
        <f t="shared" ref="J123" si="43">I123</f>
        <v>0.66110000000000002</v>
      </c>
      <c r="K123" s="502">
        <f t="shared" ref="K123" si="44">J123</f>
        <v>0.66110000000000002</v>
      </c>
      <c r="L123" s="502">
        <f t="shared" ref="L123" si="45">K123</f>
        <v>0.66110000000000002</v>
      </c>
      <c r="M123" s="504">
        <f t="shared" ref="M123" si="46">L123</f>
        <v>0.66110000000000002</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0.86829999999999996</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0.82589999999999997</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285128</v>
      </c>
      <c r="C2" s="2543" t="s">
        <v>2332</v>
      </c>
      <c r="D2" s="2543" t="s">
        <v>2333</v>
      </c>
      <c r="E2" s="2544">
        <f ca="1">SUMIF(E6:E13,"&lt;&gt;#ref!",E6:E13)</f>
        <v>207366.83</v>
      </c>
      <c r="F2" s="2542"/>
      <c r="G2" s="2542"/>
      <c r="H2" s="2542"/>
      <c r="I2" s="2542"/>
      <c r="J2" s="2542"/>
      <c r="K2" s="2542"/>
      <c r="L2" s="2542"/>
      <c r="M2" s="2542"/>
      <c r="N2" s="2542"/>
      <c r="O2" s="2542"/>
      <c r="P2" s="2542"/>
    </row>
    <row r="3" spans="1:16" ht="15.75">
      <c r="A3" s="2543" t="s">
        <v>2334</v>
      </c>
      <c r="B3" s="1704">
        <f ca="1">ROUND(B2*10000/E2,0)</f>
        <v>13750</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285128</v>
      </c>
      <c r="C6" s="2543" t="s">
        <v>2332</v>
      </c>
      <c r="D6" s="2542"/>
      <c r="E6" s="2544">
        <f ca="1">SUMIF(INDIRECT("'"&amp;A6&amp;"'"&amp;"!C:C"),"建筑面积",INDIRECT("'"&amp;A6&amp;"'"&amp;"!D:D"))</f>
        <v>207366.83</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44798</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44798</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0" t="str">
        <f>IF(项目基本情况!B8="抵押","3.抵押双方在办理抵押登记手续时，应使用本公司出具的正式《房地产评估报告》，特提醒报告使用者注意。","——")</f>
        <v>——</v>
      </c>
      <c r="B13" s="3015"/>
      <c r="C13" s="3015"/>
      <c r="D13" s="3015"/>
    </row>
    <row r="14" spans="1:4" ht="15.75" customHeight="1">
      <c r="A14" s="3010" t="str">
        <f>IF(项目基本情况!B8="抵押","4.本次评估估价师所知悉的法定优先受偿款情况说明如下：","——")</f>
        <v>——</v>
      </c>
      <c r="B14" s="3015"/>
      <c r="C14" s="3015"/>
      <c r="D14" s="3015"/>
    </row>
    <row r="15" spans="1:4" ht="42" customHeight="1">
      <c r="A15" s="3010" t="str">
        <f>IF(项目基本情况!B8="抵押","（1）"&amp;CONCATENATE(项目基本情况!L20,项目基本情况!L21,项目基本情况!L22),"——")</f>
        <v>——</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44805</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2022-09-01T05:27:30Z</dcterms:modified>
</cp:coreProperties>
</file>