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 i="12" l="1"/>
  <c r="D10" i="12" s="1"/>
  <c r="I9" i="39"/>
  <c r="G9" i="39"/>
  <c r="E120" i="39"/>
  <c r="F120" i="39" s="1"/>
  <c r="G120" i="39" s="1"/>
  <c r="H120" i="39" s="1"/>
  <c r="I120" i="39" s="1"/>
  <c r="D120" i="39"/>
  <c r="C10" i="12"/>
  <c r="N7" i="1"/>
  <c r="F20" i="6"/>
  <c r="F19" i="6"/>
  <c r="I13" i="3"/>
  <c r="AD13" i="3"/>
  <c r="K13" i="3"/>
  <c r="AH13" i="3"/>
  <c r="D3" i="4"/>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s="1"/>
  <c r="A14" i="55"/>
  <c r="A10" i="55"/>
  <c r="A9" i="55"/>
  <c r="B60" i="63" s="1"/>
  <c r="A8" i="55"/>
  <c r="A6" i="54"/>
  <c r="B49" i="63" s="1"/>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s="1"/>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s="1"/>
  <c r="C25" i="40"/>
  <c r="G16" i="20"/>
  <c r="B81" i="46"/>
  <c r="G15" i="20"/>
  <c r="B80" i="46"/>
  <c r="C24" i="20"/>
  <c r="B72" i="46"/>
  <c r="C21" i="20"/>
  <c r="B73" i="46"/>
  <c r="C20" i="20"/>
  <c r="B76" i="46" s="1"/>
  <c r="C18" i="20"/>
  <c r="B70" i="46" s="1"/>
  <c r="C17" i="20"/>
  <c r="B58" i="46" s="1"/>
  <c r="C16" i="20"/>
  <c r="B47" i="46" s="1"/>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C24" i="12"/>
  <c r="F3" i="35"/>
  <c r="K1" i="43"/>
  <c r="K1" i="12"/>
  <c r="G1" i="44"/>
  <c r="I4" i="6"/>
  <c r="G3" i="46" s="1"/>
  <c r="AZ15" i="3"/>
  <c r="G5" i="3"/>
  <c r="B3" i="3" s="1"/>
  <c r="BK5" i="3"/>
  <c r="BO5" i="3"/>
  <c r="BP5" i="3"/>
  <c r="BN5" i="3"/>
  <c r="BL18" i="3"/>
  <c r="AZ18" i="3"/>
  <c r="BC5" i="3"/>
  <c r="E8" i="6"/>
  <c r="E53" i="40" s="1"/>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s="1"/>
  <c r="C46" i="36"/>
  <c r="C59" i="34"/>
  <c r="C48" i="35"/>
  <c r="D48" i="35" s="1"/>
  <c r="C52" i="37"/>
  <c r="D52" i="37" s="1"/>
  <c r="J7" i="33"/>
  <c r="AC7" i="33" s="1"/>
  <c r="V48" i="33" s="1"/>
  <c r="I48" i="33" s="1"/>
  <c r="I52" i="33" s="1"/>
  <c r="J52" i="33" s="1"/>
  <c r="D65" i="40"/>
  <c r="E65" i="40" s="1"/>
  <c r="E67"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A9" i="64"/>
  <c r="A9" i="51"/>
  <c r="B9" i="63" s="1"/>
  <c r="D72" i="39"/>
  <c r="W7" i="33"/>
  <c r="G66" i="36"/>
  <c r="J18" i="36"/>
  <c r="AE8" i="1"/>
  <c r="AE7" i="1"/>
  <c r="AE6" i="1"/>
  <c r="W18" i="36"/>
  <c r="AC18" i="36"/>
  <c r="AG6" i="1"/>
  <c r="L20" i="6"/>
  <c r="L19" i="6"/>
  <c r="F7" i="21"/>
  <c r="AA7" i="21" s="1"/>
  <c r="R48" i="21" s="1"/>
  <c r="J7" i="21"/>
  <c r="AC7" i="21" s="1"/>
  <c r="V48" i="21" s="1"/>
  <c r="I48" i="21" s="1"/>
  <c r="H7" i="21"/>
  <c r="AB7" i="21" s="1"/>
  <c r="T48" i="21" s="1"/>
  <c r="G48" i="21" s="1"/>
  <c r="F65" i="40"/>
  <c r="F67" i="40" s="1"/>
  <c r="E72" i="39"/>
  <c r="F70" i="39"/>
  <c r="F72" i="39" s="1"/>
  <c r="S8" i="1"/>
  <c r="S9" i="1"/>
  <c r="S7" i="21"/>
  <c r="G70" i="39"/>
  <c r="H70" i="39" s="1"/>
  <c r="G72" i="39"/>
  <c r="R9" i="1"/>
  <c r="R8" i="1"/>
  <c r="C45" i="9"/>
  <c r="H14" i="66" s="1"/>
  <c r="B7" i="66" s="1"/>
  <c r="O40" i="9"/>
  <c r="K31" i="9"/>
  <c r="K32" i="9" s="1"/>
  <c r="R7" i="54"/>
  <c r="B52" i="63" s="1"/>
  <c r="N76" i="9"/>
  <c r="C46" i="9"/>
  <c r="K33" i="9" s="1"/>
  <c r="K34" i="9" s="1"/>
  <c r="F11" i="44"/>
  <c r="N4" i="65"/>
  <c r="L47" i="15"/>
  <c r="E9" i="67"/>
  <c r="F37" i="15"/>
  <c r="N3" i="65"/>
  <c r="J17" i="44"/>
  <c r="F28" i="44"/>
  <c r="F39" i="44"/>
  <c r="F6" i="15"/>
  <c r="B9" i="67"/>
  <c r="N7" i="65"/>
  <c r="E8" i="67"/>
  <c r="M9" i="15"/>
  <c r="N6" i="65"/>
  <c r="N5" i="65"/>
  <c r="M6" i="15"/>
  <c r="F16" i="15"/>
  <c r="J15" i="15"/>
  <c r="F13" i="67"/>
  <c r="F9" i="44"/>
  <c r="E12" i="67"/>
  <c r="M27" i="15"/>
  <c r="F8" i="67"/>
  <c r="F9" i="67"/>
  <c r="F46" i="44"/>
  <c r="M29" i="44"/>
  <c r="B10" i="67"/>
  <c r="F18" i="44"/>
  <c r="F10" i="67"/>
  <c r="F10" i="44"/>
  <c r="F40" i="44"/>
  <c r="C19" i="44"/>
  <c r="F9" i="15"/>
  <c r="E13" i="67"/>
  <c r="F38" i="15"/>
  <c r="E11" i="67"/>
  <c r="F7" i="15"/>
  <c r="M25" i="44"/>
  <c r="F45" i="44"/>
  <c r="M21" i="15"/>
  <c r="M28" i="44"/>
  <c r="F36" i="15"/>
  <c r="B8" i="67"/>
  <c r="F40" i="15"/>
  <c r="M30" i="44"/>
  <c r="F43" i="15"/>
  <c r="F42" i="15"/>
  <c r="B13" i="67"/>
  <c r="M23" i="15"/>
  <c r="M8" i="44"/>
  <c r="L48" i="15"/>
  <c r="M11" i="44"/>
  <c r="B14" i="67"/>
  <c r="M31" i="44"/>
  <c r="F35" i="15"/>
  <c r="F37" i="44"/>
  <c r="F8" i="44"/>
  <c r="L48" i="44"/>
  <c r="E10" i="67"/>
  <c r="F8" i="15"/>
  <c r="E14" i="67"/>
  <c r="F43" i="44"/>
  <c r="M8" i="15"/>
  <c r="F12" i="67"/>
  <c r="F13" i="15"/>
  <c r="F41" i="15"/>
  <c r="B11" i="67"/>
  <c r="M26" i="15"/>
  <c r="M22" i="15"/>
  <c r="F38" i="44"/>
  <c r="F15" i="44"/>
  <c r="J36" i="15"/>
  <c r="M26" i="44"/>
  <c r="F26" i="15"/>
  <c r="M24" i="44"/>
  <c r="M29" i="15"/>
  <c r="F14" i="67"/>
  <c r="M10" i="44"/>
  <c r="M24" i="15"/>
  <c r="L49" i="44"/>
  <c r="M23" i="44"/>
  <c r="F11" i="67"/>
  <c r="M28" i="15"/>
  <c r="B12" i="67"/>
  <c r="D23" i="15" l="1"/>
  <c r="M43" i="9"/>
  <c r="D18" i="9"/>
  <c r="M44" i="9" s="1"/>
  <c r="A30" i="51"/>
  <c r="B22" i="63" s="1"/>
  <c r="A30" i="64"/>
  <c r="B54" i="46"/>
  <c r="L27" i="6"/>
  <c r="D12" i="11"/>
  <c r="C12" i="11" s="1"/>
  <c r="H16" i="1"/>
  <c r="BL5" i="3"/>
  <c r="AZ13" i="3"/>
  <c r="AZ5" i="3" s="1"/>
  <c r="E3" i="6" s="1"/>
  <c r="C21" i="4" s="1"/>
  <c r="O5" i="54" s="1"/>
  <c r="B45" i="63" s="1"/>
  <c r="E29" i="6"/>
  <c r="K15" i="1" s="1"/>
  <c r="F30" i="6"/>
  <c r="A18" i="64"/>
  <c r="B74" i="63" s="1"/>
  <c r="C53" i="10"/>
  <c r="T41" i="4"/>
  <c r="A17" i="51" s="1"/>
  <c r="B13" i="63" s="1"/>
  <c r="A18" i="51"/>
  <c r="B14" i="63" s="1"/>
  <c r="L5" i="54"/>
  <c r="B39" i="63" s="1"/>
  <c r="K5" i="54"/>
  <c r="A17" i="64"/>
  <c r="L16" i="4"/>
  <c r="K17" i="4" s="1"/>
  <c r="A22" i="51" s="1"/>
  <c r="B16" i="63" s="1"/>
  <c r="O41" i="9"/>
  <c r="R8" i="54" s="1"/>
  <c r="B54" i="63" s="1"/>
  <c r="D46" i="9"/>
  <c r="I14" i="66"/>
  <c r="B8" i="66" s="1"/>
  <c r="R49" i="21"/>
  <c r="E48" i="21"/>
  <c r="E53" i="21" s="1"/>
  <c r="F53" i="21" s="1"/>
  <c r="U7" i="21"/>
  <c r="D67" i="40"/>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I3" i="65"/>
  <c r="I6" i="65"/>
  <c r="J7" i="65"/>
  <c r="M19" i="44"/>
  <c r="I7" i="65"/>
  <c r="I5" i="65"/>
  <c r="J6" i="65"/>
  <c r="C16" i="15"/>
  <c r="C17" i="15"/>
  <c r="F58" i="15"/>
  <c r="J4" i="65"/>
  <c r="I4" i="65"/>
  <c r="F31" i="15"/>
  <c r="C18" i="44"/>
  <c r="M17" i="15"/>
  <c r="J5" i="65"/>
  <c r="J3" i="65"/>
  <c r="F33" i="44"/>
  <c r="D16" i="43" l="1"/>
  <c r="C16" i="43" s="1"/>
  <c r="E6" i="6"/>
  <c r="D45" i="9"/>
  <c r="D16" i="12"/>
  <c r="L38" i="9"/>
  <c r="B14" i="66" s="1"/>
  <c r="B1" i="66" s="1"/>
  <c r="C7" i="66" s="1"/>
  <c r="B38" i="63"/>
  <c r="A3" i="55"/>
  <c r="B56" i="63" s="1"/>
  <c r="A25" i="64"/>
  <c r="A25" i="51"/>
  <c r="B18" i="63" s="1"/>
  <c r="C34" i="12"/>
  <c r="D33" i="12" s="1"/>
  <c r="C49" i="21"/>
  <c r="B3" i="21" s="1"/>
  <c r="B2" i="21" s="1"/>
  <c r="C48" i="2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2" i="65"/>
  <c r="E3" i="65"/>
  <c r="M20" i="6" l="1"/>
  <c r="I20" i="6" s="1"/>
  <c r="S20" i="6" s="1"/>
  <c r="S7" i="1"/>
  <c r="S16" i="1" s="1"/>
  <c r="D19" i="12"/>
  <c r="C19" i="12" s="1"/>
  <c r="C16" i="12"/>
  <c r="D22" i="12"/>
  <c r="C22" i="12" s="1"/>
  <c r="C20" i="12" s="1"/>
  <c r="D13" i="11"/>
  <c r="C13" i="11" s="1"/>
  <c r="C8" i="66"/>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3" i="46"/>
  <c r="C115" i="46"/>
  <c r="D113" i="46" s="1"/>
  <c r="J28" i="44"/>
  <c r="J31" i="44" s="1"/>
  <c r="J26" i="44"/>
  <c r="J20" i="44"/>
  <c r="F21" i="43"/>
  <c r="C23" i="43" s="1"/>
  <c r="D21" i="43" s="1"/>
  <c r="C34" i="44"/>
  <c r="C40" i="44"/>
  <c r="C52" i="15"/>
  <c r="C47" i="15" s="1"/>
  <c r="C10" i="15"/>
  <c r="C5" i="15" s="1"/>
  <c r="J26" i="15"/>
  <c r="J29" i="15" s="1"/>
  <c r="J24" i="15"/>
  <c r="J18" i="15"/>
  <c r="L52" i="44"/>
  <c r="C37" i="46" l="1"/>
  <c r="G37" i="46" s="1"/>
  <c r="I37" i="46" s="1"/>
  <c r="C36" i="46"/>
  <c r="E36" i="46" s="1"/>
  <c r="R26" i="6"/>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P14" i="1"/>
  <c r="P16" i="1" s="1"/>
  <c r="C13" i="12" s="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G33" i="46"/>
  <c r="I33" i="46" s="1"/>
  <c r="E33" i="46"/>
  <c r="Q69" i="44"/>
  <c r="L58" i="44"/>
  <c r="L61" i="44" s="1"/>
  <c r="L47" i="44" s="1"/>
  <c r="C32" i="15"/>
  <c r="C38" i="15"/>
  <c r="B5" i="11"/>
  <c r="B3" i="11"/>
  <c r="B4" i="11"/>
  <c r="C59" i="15"/>
  <c r="C65" i="15"/>
  <c r="Q49" i="44"/>
  <c r="Q55" i="44" s="1"/>
  <c r="Q67" i="44"/>
  <c r="Q58" i="44"/>
  <c r="C16" i="44"/>
  <c r="C14" i="15"/>
  <c r="D31" i="6" l="1"/>
  <c r="I6" i="6" s="1"/>
  <c r="E29" i="46"/>
  <c r="C30" i="46"/>
  <c r="E30" i="46" s="1"/>
  <c r="E35" i="46"/>
  <c r="G35" i="46"/>
  <c r="I35" i="46" s="1"/>
  <c r="C15" i="15"/>
  <c r="C18" i="15"/>
  <c r="C17" i="44"/>
  <c r="C20" i="44"/>
  <c r="I27" i="6"/>
  <c r="S19" i="6"/>
  <c r="S27" i="6" s="1"/>
  <c r="H19" i="6"/>
  <c r="C14" i="12"/>
  <c r="C17" i="12"/>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I5" i="6" l="1"/>
  <c r="C26" i="46"/>
  <c r="C27" i="46"/>
  <c r="E4" i="67"/>
  <c r="C19" i="15"/>
  <c r="C20" i="15" s="1"/>
  <c r="C26" i="15" s="1"/>
  <c r="C21" i="44"/>
  <c r="C22" i="44" s="1"/>
  <c r="C25" i="44" s="1"/>
  <c r="C18" i="12"/>
  <c r="C23" i="12" s="1"/>
  <c r="C35" i="12" s="1"/>
  <c r="C33" i="12"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K52" i="37"/>
  <c r="D19" i="9"/>
  <c r="B7" i="67"/>
  <c r="L44" i="9" l="1"/>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D21" i="9"/>
  <c r="D20" i="9"/>
  <c r="R50" i="39" l="1"/>
  <c r="C50" i="39" s="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C49" i="39" l="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B4" i="39" s="1"/>
  <c r="C46" i="15"/>
  <c r="Q63" i="15"/>
  <c r="Q67" i="15"/>
  <c r="L46" i="15"/>
  <c r="B2" i="15" s="1"/>
  <c r="B3" i="15" s="1"/>
  <c r="Q76" i="15"/>
  <c r="B3" i="44"/>
  <c r="B5" i="44"/>
  <c r="B4" i="44"/>
  <c r="AA7" i="37"/>
  <c r="R42" i="37" s="1"/>
  <c r="S7" i="37"/>
  <c r="I48" i="40"/>
  <c r="J48" i="40" s="1"/>
  <c r="G48" i="40"/>
  <c r="H48" i="40" s="1"/>
  <c r="G49" i="40"/>
  <c r="H49" i="40" s="1"/>
  <c r="E44" i="40"/>
  <c r="I49" i="40" s="1"/>
  <c r="J49" i="40" s="1"/>
  <c r="R45" i="40"/>
  <c r="B3" i="39"/>
  <c r="E43" i="35"/>
  <c r="F43" i="35" s="1"/>
  <c r="E42" i="35"/>
  <c r="F42" i="35" s="1"/>
  <c r="I43" i="35"/>
  <c r="J43" i="35" s="1"/>
  <c r="C39" i="35"/>
  <c r="B3" i="35" s="1"/>
  <c r="B2" i="35" s="1"/>
  <c r="C38" i="35"/>
  <c r="H7" i="37"/>
  <c r="J7" i="37"/>
  <c r="C19" i="9"/>
  <c r="C20" i="9"/>
  <c r="C21" i="9"/>
  <c r="G21" i="9" l="1"/>
  <c r="G20" i="9"/>
  <c r="L43" i="9"/>
  <c r="G19" i="9"/>
  <c r="D22" i="9"/>
  <c r="B5" i="39"/>
  <c r="W7" i="37"/>
  <c r="AC7" i="37"/>
  <c r="V42" i="37" s="1"/>
  <c r="I42" i="37" s="1"/>
  <c r="C45" i="40"/>
  <c r="C44" i="40"/>
  <c r="AB7" i="37"/>
  <c r="T42" i="37" s="1"/>
  <c r="G42" i="37" s="1"/>
  <c r="U7" i="37"/>
  <c r="E48" i="40"/>
  <c r="F48" i="40" s="1"/>
  <c r="E49" i="40"/>
  <c r="F49" i="40" s="1"/>
  <c r="E42" i="37"/>
  <c r="R43" i="37"/>
  <c r="G22" i="9" l="1"/>
  <c r="C32" i="9"/>
  <c r="N43"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42" i="9" l="1"/>
  <c r="C33" i="9"/>
  <c r="O43" i="9"/>
  <c r="C34" i="9"/>
  <c r="O38" i="9"/>
  <c r="C35" i="9"/>
  <c r="F42" i="9" s="1"/>
  <c r="B5" i="40"/>
  <c r="B4" i="40"/>
  <c r="B3" i="40"/>
  <c r="K26" i="9" l="1"/>
  <c r="K25" i="9"/>
  <c r="M38" i="9"/>
  <c r="K27" i="9" s="1"/>
  <c r="E42" i="9"/>
  <c r="P5" i="54" s="1"/>
  <c r="B46" i="63" s="1"/>
  <c r="D42" i="9"/>
  <c r="Q5" i="54" s="1"/>
  <c r="B47" i="63" s="1"/>
  <c r="N38" i="9"/>
  <c r="K28" i="9" s="1"/>
  <c r="D14" i="66"/>
  <c r="N68" i="9"/>
  <c r="C44" i="9"/>
  <c r="D63" i="9"/>
  <c r="R5" i="54"/>
  <c r="B48" i="63" s="1"/>
  <c r="G14" i="66" l="1"/>
  <c r="B6" i="66" s="1"/>
  <c r="D44" i="9"/>
  <c r="F44" i="9"/>
  <c r="N69" i="9"/>
  <c r="O39" i="9"/>
  <c r="E44" i="9"/>
  <c r="E14" i="66"/>
  <c r="B5" i="66"/>
  <c r="F14" i="66"/>
  <c r="D71" i="9"/>
  <c r="D66" i="9" s="1"/>
  <c r="N72" i="9" s="1"/>
  <c r="D77" i="9"/>
  <c r="N75" i="9" s="1"/>
  <c r="C111" i="9"/>
  <c r="C104" i="9" s="1"/>
  <c r="C103" i="9"/>
  <c r="C113" i="9" s="1"/>
  <c r="D70" i="9"/>
  <c r="C90" i="9"/>
  <c r="C82" i="9"/>
  <c r="C81" i="9" s="1"/>
  <c r="C85" i="9" s="1"/>
  <c r="C86" i="9" s="1"/>
  <c r="D72" i="9" s="1"/>
  <c r="C96" i="9"/>
  <c r="C91" i="9" s="1"/>
  <c r="C5" i="66" l="1"/>
  <c r="D5" i="66"/>
  <c r="M86" i="9"/>
  <c r="N86" i="9" s="1"/>
  <c r="M85" i="9"/>
  <c r="N85" i="9" s="1"/>
  <c r="M87" i="9"/>
  <c r="N87" i="9" s="1"/>
  <c r="M88" i="9"/>
  <c r="N88" i="9" s="1"/>
  <c r="M84" i="9"/>
  <c r="N84" i="9" s="1"/>
  <c r="M83" i="9"/>
  <c r="N83" i="9" s="1"/>
  <c r="C97" i="9"/>
  <c r="C114" i="9"/>
  <c r="E114" i="9" s="1"/>
  <c r="E115" i="9" s="1"/>
  <c r="K29" i="9"/>
  <c r="K30" i="9" s="1"/>
  <c r="R6" i="54"/>
  <c r="B50" i="63" s="1"/>
  <c r="D6" i="66"/>
  <c r="C6" i="66"/>
  <c r="C115" i="9" l="1"/>
  <c r="D76" i="9" s="1"/>
  <c r="D74" i="9" s="1"/>
  <c r="N74" i="9" s="1"/>
  <c r="O77" i="9" s="1"/>
  <c r="C98" i="9"/>
  <c r="E98" i="9" s="1"/>
  <c r="E99" i="9" s="1"/>
  <c r="C99" i="9"/>
  <c r="N89" i="9"/>
  <c r="O89"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<sst xmlns="http://schemas.openxmlformats.org/spreadsheetml/2006/main" count="6835" uniqueCount="3018">
  <si>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</si>
  <si>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</si>
  <si>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</si>
  <si>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</si>
  <si>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</si>
  <si>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</si>
  <si>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</si>
  <si>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</si>
  <si>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</si>
  <si>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</si>
  <si>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</si>
  <si>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</si>
  <si>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</si>
  <si>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</si>
  <si>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</si>
  <si>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</si>
  <si>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</si>
  <si>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</si>
  <si>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</si>
  <si>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</si>
  <si>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</si>
  <si>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</si>
  <si>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</si>
  <si>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</si>
  <si>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</si>
  <si>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</si>
  <si>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</si>
  <si>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</si>
  <si>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</si>
  <si>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</si>
  <si>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</si>
  <si>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</si>
  <si>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</si>
  <si>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</si>
  <si>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</si>
  <si>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</si>
  <si>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</si>
  <si>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</si>
  <si>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</si>
  <si>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</si>
  <si>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</si>
  <si>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</si>
  <si>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</si>
  <si>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</si>
  <si>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</si>
  <si>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</si>
  <si>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</si>
  <si>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</si>
  <si>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</si>
  <si>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</si>
  <si>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</si>
  <si>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</si>
  <si>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</si>
  <si>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</si>
  <si>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</si>
  <si>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</si>
  <si>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</si>
  <si>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</si>
  <si>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</si>
  <si>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</si>
  <si>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</si>
  <si>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</si>
  <si>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</si>
  <si>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</si>
  <si>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</si>
  <si>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</si>
  <si>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</si>
  <si>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</si>
  <si>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</si>
  <si>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</si>
  <si>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</si>
  <si>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</si>
  <si>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</si>
  <si>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</si>
  <si>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</si>
  <si>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</si>
  <si>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</si>
  <si>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</si>
  <si>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</si>
  <si>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</si>
  <si>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</si>
  <si>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</si>
  <si>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</si>
  <si>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</si>
  <si>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</si>
  <si>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</si>
  <si>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</si>
  <si>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</si>
  <si>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</si>
  <si>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</si>
  <si>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</si>
  <si>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</si>
  <si>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</si>
  <si>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</si>
  <si>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</si>
  <si>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</si>
  <si>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</si>
  <si>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</si>
  <si>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</si>
  <si>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</si>
  <si>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</si>
  <si>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</si>
  <si>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</si>
  <si>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</si>
  <si>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</si>
  <si>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</si>
  <si>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</si>
  <si>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</si>
  <si>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</si>
  <si>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</si>
  <si>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</si>
  <si>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</si>
  <si>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</si>
  <si>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</si>
  <si>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</si>
  <si>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</si>
  <si>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</si>
  <si>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</si>
  <si>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</si>
  <si>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</si>
  <si>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</si>
  <si>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</si>
  <si>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</si>
  <si>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</si>
  <si>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</si>
  <si>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</si>
  <si>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</si>
  <si>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</si>
  <si>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</si>
  <si>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</si>
  <si>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</si>
  <si>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</si>
  <si>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</si>
  <si>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</si>
  <si>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</si>
  <si>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</si>
  <si>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</si>
  <si>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</si>
  <si>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</si>
  <si>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</si>
  <si>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</si>
  <si>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</si>
  <si>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</si>
  <si>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</si>
  <si>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</si>
  <si>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</si>
  <si>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</si>
  <si>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</si>
  <si>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</si>
  <si>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</si>
  <si>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</si>
  <si>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</si>
  <si>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</si>
  <si>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</si>
  <si>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</si>
  <si>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</si>
  <si>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</si>
  <si>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</si>
  <si>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</si>
  <si>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</si>
  <si>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</si>
  <si>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</si>
  <si>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</si>
  <si>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</si>
  <si>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</si>
  <si>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</si>
  <si>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</si>
  <si>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</si>
  <si>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</si>
  <si>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</si>
  <si>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</si>
  <si>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</si>
  <si>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</si>
  <si>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</si>
  <si>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</si>
  <si>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</si>
  <si>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</si>
  <si>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</si>
  <si>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</si>
  <si>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</si>
  <si>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</si>
  <si>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</si>
  <si>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</si>
  <si>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</si>
  <si>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</si>
  <si>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</si>
  <si>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</si>
  <si>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</si>
  <si>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</si>
  <si>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</si>
  <si>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</si>
  <si>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</si>
  <si>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</si>
  <si>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</si>
  <si>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</si>
  <si>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</si>
  <si>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</si>
  <si>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</si>
  <si>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</si>
  <si>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</si>
  <si>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</si>
  <si>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</si>
  <si>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</si>
  <si>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</si>
  <si>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</si>
  <si>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</si>
  <si>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</si>
  <si>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</si>
  <si>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</si>
  <si>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</si>
  <si>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</si>
  <si>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</si>
  <si>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</si>
  <si>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</si>
  <si>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</si>
  <si>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</si>
  <si>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</si>
  <si>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</si>
  <si>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</si>
  <si>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</si>
  <si>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</si>
  <si>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</si>
  <si>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</si>
  <si>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</si>
  <si>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</si>
  <si>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</si>
  <si>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</si>
  <si>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</si>
  <si>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</si>
  <si>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</si>
  <si>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</si>
  <si>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</si>
  <si>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</si>
  <si>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</si>
  <si>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</si>
  <si>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</si>
  <si>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</si>
  <si>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</si>
  <si>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</si>
  <si>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</si>
  <si>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</si>
  <si>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</si>
  <si>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</si>
  <si>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</si>
  <si>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</si>
  <si>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</si>
  <si>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</si>
  <si>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</si>
  <si>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</si>
  <si>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</si>
  <si>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</si>
  <si>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</si>
  <si>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</si>
  <si>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</si>
  <si>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</si>
  <si>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</si>
  <si>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</si>
  <si>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</si>
  <si>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</si>
  <si>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</si>
  <si>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</si>
  <si>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</si>
  <si>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</si>
  <si>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</si>
  <si>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</si>
  <si>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</si>
  <si>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</si>
  <si>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</si>
  <si>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</si>
  <si>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</si>
  <si>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</si>
  <si>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</si>
  <si>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</si>
  <si>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</si>
  <si>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</si>
  <si>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</si>
  <si>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</si>
  <si>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</si>
  <si>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</si>
  <si>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</si>
  <si>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</si>
  <si>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</si>
  <si>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</si>
  <si>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</si>
  <si>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</si>
  <si>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</si>
  <si>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</si>
  <si>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</si>
  <si>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</si>
  <si>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</si>
  <si>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</si>
  <si>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</si>
  <si>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</si>
  <si>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</si>
  <si>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</si>
  <si>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</si>
  <si>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</si>
  <si>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</si>
  <si>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</si>
  <si>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</si>
  <si>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</si>
  <si>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</si>
  <si>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</si>
  <si>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</si>
  <si>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</si>
  <si>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</si>
  <si>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</si>
  <si>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</si>
  <si>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</si>
  <si>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</si>
  <si>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</si>
  <si>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</si>
  <si>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</si>
  <si>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</si>
  <si>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</si>
  <si>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</si>
  <si>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</si>
  <si>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</si>
  <si>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</si>
  <si>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</si>
  <si>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</si>
  <si>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</si>
  <si>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</si>
  <si>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</si>
  <si>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</si>
  <si>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</si>
  <si>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</si>
  <si>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</si>
  <si>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</si>
  <si>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</si>
  <si>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</si>
  <si>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</si>
  <si>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</si>
  <si>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</si>
  <si>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</si>
  <si>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</si>
  <si>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</si>
  <si>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</si>
  <si>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</si>
  <si>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</si>
  <si>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</si>
  <si>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</si>
  <si>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</si>
  <si>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</si>
  <si>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</si>
  <si>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</si>
  <si>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</si>
  <si>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</si>
  <si>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</si>
  <si>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</si>
  <si>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</si>
  <si>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</si>
  <si>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</si>
  <si>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</si>
  <si>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</si>
  <si>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</si>
  <si>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</si>
  <si>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</si>
  <si>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</si>
  <si>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</si>
  <si>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</si>
  <si>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</si>
  <si>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</si>
  <si>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</si>
  <si>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</si>
  <si>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</si>
  <si>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</si>
  <si>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</si>
  <si>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</si>
  <si>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</si>
  <si>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</si>
  <si>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</si>
  <si>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</si>
  <si>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</si>
  <si>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</si>
  <si>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</si>
  <si>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</si>
  <si>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</si>
  <si>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</si>
  <si>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</si>
  <si>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</si>
  <si>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</si>
  <si>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</si>
  <si>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</si>
  <si>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</si>
  <si>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</si>
  <si>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</si>
  <si>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</si>
  <si>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</si>
  <si>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</si>
  <si>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</si>
  <si>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</si>
  <si>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</si>
  <si>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</si>
  <si>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</si>
  <si>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</si>
  <si>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</si>
  <si>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</si>
  <si>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</si>
  <si>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</si>
  <si>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</si>
  <si>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</si>
  <si>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</si>
  <si>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</si>
  <si>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</si>
  <si>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</si>
  <si>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</si>
  <si>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</si>
  <si>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</si>
  <si>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</si>
  <si>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</si>
  <si>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</si>
  <si>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</si>
  <si>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</si>
  <si>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</si>
  <si>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</si>
  <si>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</si>
  <si>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</si>
  <si>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</si>
  <si>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</si>
  <si>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</si>
  <si>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</si>
  <si>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</si>
  <si>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</si>
  <si>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</si>
  <si>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</si>
  <si>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</si>
  <si>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</si>
  <si>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</si>
  <si>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</si>
  <si>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</si>
  <si>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</si>
  <si>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</si>
  <si>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</si>
  <si>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</si>
  <si>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</si>
  <si>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</si>
  <si>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</si>
  <si>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</si>
  <si>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</si>
  <si>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</si>
  <si>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</si>
  <si>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</si>
  <si>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</si>
  <si>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</si>
  <si>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</si>
  <si>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</si>
  <si>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</si>
  <si>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</si>
  <si>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</si>
  <si>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</si>
  <si>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</si>
  <si>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</si>
  <si>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</si>
  <si>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</si>
  <si>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</si>
  <si>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</si>
  <si>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</si>
  <si>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</si>
  <si>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</si>
  <si>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</si>
  <si>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</si>
  <si>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</si>
  <si>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</si>
  <si>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</si>
  <si>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</si>
  <si>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</si>
  <si>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</si>
  <si>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</si>
  <si>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</si>
  <si>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</si>
  <si>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</si>
  <si>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</si>
  <si>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</si>
  <si>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</si>
  <si>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</si>
  <si>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</si>
  <si>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</si>
  <si>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</si>
  <si>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</si>
  <si>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</si>
  <si>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</si>
  <si>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</si>
  <si>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</si>
  <si>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</si>
  <si>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</si>
  <si>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</si>
  <si>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</si>
  <si>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</si>
  <si>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</si>
  <si>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</si>
  <si>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</si>
  <si>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</si>
  <si>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</si>
  <si>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</si>
  <si>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</si>
  <si>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</si>
  <si>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</si>
  <si>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</si>
  <si>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</si>
  <si>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</si>
  <si>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</si>
  <si>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</si>
  <si>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</si>
  <si>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</si>
  <si>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</si>
  <si>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</si>
  <si>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</si>
  <si>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</si>
  <si>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</si>
  <si>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</si>
  <si>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</si>
  <si>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</si>
  <si>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</si>
  <si>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</si>
  <si>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</si>
  <si>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</si>
  <si>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</si>
  <si>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</si>
  <si>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</si>
  <si>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</si>
  <si>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</si>
  <si>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</si>
  <si>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</si>
  <si>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</si>
  <si>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</si>
  <si>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</si>
  <si>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</si>
  <si>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</si>
  <si>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</si>
  <si>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</si>
  <si>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</si>
  <si>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</si>
  <si>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</si>
  <si>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</si>
  <si>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</si>
  <si>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</si>
  <si>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</si>
  <si>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</si>
  <si>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</si>
  <si>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</si>
  <si>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</si>
  <si>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</si>
  <si>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</si>
  <si>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</si>
  <si>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</si>
  <si>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</si>
  <si>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</si>
  <si>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</si>
  <si>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</si>
  <si>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</si>
  <si>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</si>
  <si>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</si>
  <si>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</si>
  <si>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</si>
  <si>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</si>
  <si>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</si>
  <si>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</si>
  <si>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</si>
  <si>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</si>
  <si>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</si>
  <si>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</si>
  <si>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</si>
  <si>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</si>
  <si>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</si>
  <si>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</si>
  <si>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</si>
  <si>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</si>
  <si>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</si>
  <si>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</si>
  <si>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</si>
  <si>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</si>
  <si>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</si>
  <si>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</si>
  <si>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</si>
  <si>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</si>
  <si>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</si>
  <si>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</si>
  <si>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</si>
  <si>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</si>
  <si>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</si>
  <si>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</si>
  <si>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</si>
  <si>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</si>
  <si>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</si>
  <si>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</si>
  <si>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</si>
  <si>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</si>
  <si>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</si>
  <si>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</si>
  <si>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</si>
  <si>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</si>
  <si>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</si>
  <si>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</si>
  <si>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</si>
  <si>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</si>
  <si>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</si>
  <si>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</si>
  <si>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</si>
  <si>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</si>
  <si>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</si>
  <si>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</si>
  <si>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</si>
  <si>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</si>
  <si>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</si>
  <si>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</si>
  <si>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</si>
  <si>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</si>
  <si>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</si>
  <si>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</si>
  <si>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</si>
  <si>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</si>
  <si>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</si>
  <si>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</si>
  <si>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</si>
  <si>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</si>
  <si>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</si>
  <si>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</si>
  <si>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</si>
  <si>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</si>
  <si>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</si>
  <si>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</si>
  <si>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</si>
  <si>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</si>
  <si>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</si>
  <si>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</si>
  <si>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</si>
  <si>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</si>
  <si>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</si>
  <si>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</si>
  <si>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</si>
  <si>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</si>
  <si>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</si>
  <si>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</si>
  <si>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</si>
  <si>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</si>
  <si>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</si>
  <si>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</si>
  <si>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</si>
  <si>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</si>
  <si>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</si>
  <si>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</si>
  <si>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</si>
  <si>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</si>
  <si>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</si>
  <si>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</si>
  <si>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</si>
  <si>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</si>
  <si>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</si>
  <si>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</si>
  <si>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</si>
  <si>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</si>
  <si>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</si>
  <si>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</si>
  <si>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</si>
  <si>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</si>
  <si>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</si>
  <si>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</si>
  <si>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</si>
  <si>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</si>
  <si>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</si>
  <si>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</si>
  <si>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</si>
  <si>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</si>
  <si>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</si>
  <si>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</si>
  <si>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</si>
  <si>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</si>
  <si>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</si>
  <si>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</si>
  <si>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</si>
  <si>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</si>
  <si>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</si>
  <si>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</si>
  <si>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</si>
  <si>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</si>
  <si>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</si>
  <si>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</si>
  <si>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</si>
  <si>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</si>
  <si>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</si>
  <si>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</si>
  <si>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</si>
  <si>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</si>
  <si>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</si>
  <si>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</si>
  <si>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</si>
  <si>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</si>
  <si>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</si>
  <si>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</si>
  <si>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</si>
  <si>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</si>
  <si>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</si>
  <si>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</si>
  <si>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</si>
  <si>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</si>
  <si>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</si>
  <si>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</si>
  <si>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</si>
  <si>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</si>
  <si>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</si>
  <si>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</si>
  <si>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</si>
  <si>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</si>
  <si>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</si>
  <si>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</si>
  <si>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</si>
  <si>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</si>
  <si>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</si>
  <si>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</si>
  <si>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</si>
  <si>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</si>
  <si>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</si>
  <si>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</si>
  <si>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</si>
  <si>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</si>
  <si>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</si>
  <si>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</si>
  <si>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</si>
  <si>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</si>
  <si>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</si>
  <si>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</si>
  <si>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</si>
  <si>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</si>
  <si>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</si>
  <si>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</si>
  <si>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</si>
  <si>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</si>
  <si>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</si>
  <si>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</si>
  <si>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</si>
  <si>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</si>
  <si>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</si>
  <si>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</si>
  <si>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</si>
  <si>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</si>
  <si>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</si>
  <si>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</si>
  <si>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</si>
  <si>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</si>
  <si>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</si>
  <si>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</si>
  <si>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</si>
  <si>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</si>
  <si>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</si>
  <si>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</si>
  <si>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</si>
  <si>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</si>
  <si>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</si>
  <si>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</si>
  <si>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</si>
  <si>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</si>
  <si>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</si>
  <si>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</si>
  <si>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</si>
  <si>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</si>
  <si>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</si>
  <si>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</si>
  <si>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</si>
  <si>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</si>
  <si>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</si>
  <si>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</si>
  <si>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</si>
  <si>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</si>
  <si>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</si>
  <si>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</si>
  <si>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</si>
  <si>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</si>
  <si>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</si>
  <si>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</si>
  <si>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</si>
  <si>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</si>
  <si>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</si>
  <si>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</si>
  <si>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</si>
  <si>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</si>
  <si>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</si>
  <si>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</si>
  <si>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</si>
  <si>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</si>
  <si>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</si>
  <si>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</si>
  <si>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</si>
  <si>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</si>
  <si>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</si>
  <si>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</si>
  <si>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</si>
  <si>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</si>
  <si>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</si>
  <si>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</si>
  <si>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</si>
  <si>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</si>
  <si>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</si>
  <si>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</si>
  <si>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</si>
  <si>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</si>
  <si>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</si>
  <si>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</si>
  <si>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</si>
  <si>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</si>
  <si>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</si>
  <si>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</si>
  <si>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</si>
  <si>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</si>
  <si>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</si>
  <si>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</si>
  <si>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</si>
  <si>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</si>
  <si>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</si>
  <si>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</si>
  <si>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</si>
  <si>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</si>
  <si>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</si>
  <si>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</si>
  <si>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</si>
  <si>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</si>
  <si>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</si>
  <si>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</si>
  <si>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</si>
  <si>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</si>
  <si>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</si>
  <si>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</si>
  <si>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</si>
  <si>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</si>
  <si>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</si>
  <si>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</si>
  <si>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</si>
  <si>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</si>
  <si>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</si>
  <si>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</si>
  <si>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</si>
  <si>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</si>
  <si>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</si>
  <si>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</si>
  <si>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</si>
  <si>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</si>
  <si>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</si>
  <si>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</si>
  <si>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</si>
  <si>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</si>
  <si>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</si>
  <si>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</si>
  <si>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</si>
  <si>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</si>
  <si>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</si>
  <si>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</si>
  <si>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</si>
  <si>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</si>
  <si>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</si>
  <si>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</si>
  <si>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</si>
  <si>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</si>
  <si>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</si>
  <si>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</si>
  <si>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</si>
  <si>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</si>
  <si>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</si>
  <si>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</si>
  <si>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</si>
  <si>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</si>
  <si>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</si>
  <si>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</si>
  <si>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</si>
  <si>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</si>
  <si>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</si>
  <si>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</si>
  <si>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</si>
  <si>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</si>
  <si>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</si>
  <si>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</si>
  <si>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</si>
  <si>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</si>
  <si>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</si>
  <si>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</si>
  <si>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</si>
  <si>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</si>
  <si>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</si>
  <si>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</si>
  <si>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</si>
  <si>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</si>
  <si>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</si>
  <si>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</si>
  <si>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</si>
  <si>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</si>
  <si>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</si>
  <si>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</si>
  <si>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</si>
  <si>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</si>
  <si>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</si>
  <si>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</si>
  <si>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</si>
  <si>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</si>
  <si>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</si>
  <si>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</si>
  <si>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</si>
  <si>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</si>
  <si>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</si>
  <si>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</si>
  <si>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</si>
  <si>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</si>
  <si>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</si>
  <si>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</si>
  <si>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</si>
  <si>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</si>
  <si>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</si>
  <si>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</si>
  <si>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</si>
  <si>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</si>
  <si>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</si>
  <si>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</si>
  <si>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</si>
  <si>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</si>
  <si>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</si>
  <si>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</si>
  <si>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</si>
  <si>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</si>
  <si>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</si>
  <si>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</si>
  <si>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</si>
  <si>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</si>
  <si>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</si>
  <si>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</si>
  <si>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</si>
  <si>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</si>
  <si>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</si>
  <si>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</si>
  <si>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</si>
  <si>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</si>
  <si>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</si>
  <si>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</si>
  <si>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</si>
  <si>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</si>
  <si>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</si>
  <si>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</si>
  <si>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</si>
  <si>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</si>
  <si>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</si>
  <si>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</si>
  <si>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</si>
  <si>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</si>
  <si>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</si>
  <si>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</si>
  <si>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</si>
  <si>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</si>
  <si>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</si>
  <si>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</si>
  <si>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</si>
  <si>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</si>
  <si>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</si>
  <si>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</si>
  <si>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</si>
  <si>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</si>
  <si>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</si>
  <si>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</si>
  <si>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</si>
  <si>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</si>
  <si>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</si>
  <si>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</si>
  <si>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</si>
  <si>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</si>
  <si>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</si>
  <si>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</si>
  <si>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</si>
  <si>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</si>
  <si>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</si>
  <si>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</si>
  <si>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</si>
  <si>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</si>
  <si>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</si>
  <si>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</si>
  <si>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</si>
  <si>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</si>
  <si>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</si>
  <si>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</si>
  <si>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</si>
  <si>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</si>
  <si>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</si>
  <si>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</si>
  <si>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</si>
  <si>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</si>
  <si>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</si>
  <si>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</si>
  <si>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</si>
  <si>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</si>
  <si>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</si>
  <si>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</si>
  <si>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</si>
  <si>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</si>
  <si>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</si>
  <si>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</si>
  <si>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</si>
  <si>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</si>
  <si>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</si>
  <si>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</si>
  <si>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</si>
  <si>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</si>
  <si>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</si>
  <si>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</si>
  <si>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</si>
  <si>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</si>
  <si>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</si>
  <si>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</si>
  <si>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</si>
  <si>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</si>
  <si>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</si>
  <si>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</si>
  <si>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</si>
  <si>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</si>
  <si>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</si>
  <si>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</si>
  <si>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</si>
  <si>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</si>
  <si>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</si>
  <si>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</si>
  <si>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</si>
  <si>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</si>
  <si>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</si>
  <si>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</si>
  <si>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</si>
  <si>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</si>
  <si>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</si>
  <si>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</si>
  <si>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</si>
  <si>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</si>
  <si>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</si>
  <si>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</si>
  <si>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</si>
  <si>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</si>
  <si>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</si>
  <si>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</si>
  <si>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</si>
  <si>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</si>
  <si>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</si>
  <si>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</si>
  <si>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</si>
  <si>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</si>
  <si>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</si>
  <si>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</si>
  <si>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</si>
  <si>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</si>
  <si>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</si>
  <si>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</si>
  <si>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</si>
  <si>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</si>
  <si>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</si>
  <si>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</si>
  <si>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</si>
  <si>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</si>
  <si>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</si>
  <si>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</si>
  <si>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</si>
  <si>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</si>
  <si>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</si>
  <si>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</si>
  <si>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</si>
  <si>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</si>
  <si>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</si>
  <si>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</si>
  <si>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</si>
  <si>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</si>
  <si>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</si>
  <si>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</si>
  <si>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</si>
  <si>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</si>
  <si>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</si>
  <si>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</si>
  <si>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</si>
  <si>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</si>
  <si>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</si>
  <si>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</si>
  <si>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</si>
  <si>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</si>
  <si>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</si>
  <si>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</si>
  <si>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</si>
  <si>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</si>
  <si>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</si>
  <si>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</si>
  <si>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</si>
  <si>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</si>
  <si>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</si>
  <si>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</si>
  <si>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</si>
  <si>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</si>
  <si>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</si>
  <si>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</si>
  <si>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</si>
  <si>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</si>
  <si>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</si>
  <si>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</si>
  <si>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</si>
  <si>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</si>
  <si>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</si>
  <si>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</si>
  <si>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</si>
  <si>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</si>
  <si>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</si>
  <si>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</si>
  <si>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</si>
  <si>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</si>
  <si>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</si>
  <si>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</si>
  <si>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</si>
  <si>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</si>
  <si>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</si>
  <si>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</si>
  <si>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</si>
  <si>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</si>
  <si>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</si>
  <si>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</si>
  <si>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</si>
  <si>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</si>
  <si>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</si>
  <si>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</si>
  <si>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</si>
  <si>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</si>
  <si>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</si>
  <si>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</si>
  <si>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</si>
  <si>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</si>
  <si>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</si>
  <si>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</si>
  <si>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</si>
  <si>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</si>
  <si>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</si>
  <si>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</si>
  <si>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</si>
  <si>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</si>
  <si>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</si>
  <si>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</si>
  <si>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</si>
  <si>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</si>
  <si>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</si>
  <si>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</si>
  <si>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</si>
  <si>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</si>
  <si>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</si>
  <si>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</si>
  <si>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</si>
  <si>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</si>
  <si>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</si>
  <si>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</si>
  <si>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</si>
  <si>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</si>
  <si>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</si>
  <si>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</si>
  <si>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</si>
  <si>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</si>
  <si>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</si>
  <si>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</si>
  <si>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</si>
  <si>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</si>
  <si>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</si>
  <si>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</si>
  <si>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</si>
  <si>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</si>
  <si>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</si>
  <si>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</si>
  <si>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</si>
  <si>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</si>
  <si>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</si>
  <si>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</si>
  <si>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</si>
  <si>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</si>
  <si>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</si>
  <si>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</si>
  <si>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</si>
  <si>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</si>
  <si>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</si>
  <si>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</si>
  <si>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</si>
  <si>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</si>
  <si>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</si>
  <si>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</si>
  <si>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</si>
  <si>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</si>
  <si>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</si>
  <si>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</si>
  <si>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</si>
  <si>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</si>
  <si>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</si>
  <si>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</si>
  <si>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</si>
  <si>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</si>
  <si>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</si>
  <si>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</si>
  <si>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</si>
  <si>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</si>
  <si>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</si>
  <si>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</si>
  <si>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</si>
  <si>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</si>
  <si>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</si>
  <si>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</si>
  <si>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</si>
  <si>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</si>
  <si>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</si>
  <si>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</si>
  <si>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</si>
  <si>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</si>
  <si>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</si>
  <si>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</si>
  <si>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</si>
  <si>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</si>
  <si>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</si>
  <si>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</si>
  <si>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</si>
  <si>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</si>
  <si>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</si>
  <si>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</si>
  <si>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</si>
  <si>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</si>
  <si>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</si>
  <si>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</si>
  <si>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</si>
  <si>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</si>
  <si>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</si>
  <si>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</si>
  <si>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</si>
  <si>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</si>
  <si>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</si>
  <si>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</si>
  <si>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</si>
  <si>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</si>
  <si>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</si>
  <si>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</si>
  <si>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</si>
  <si>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</si>
  <si>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</si>
  <si>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</si>
  <si>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</si>
  <si>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</si>
  <si>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</si>
  <si>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</si>
  <si>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</si>
  <si>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</si>
  <si>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</si>
  <si>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</si>
  <si>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</si>
  <si>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</si>
  <si>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</si>
  <si>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</si>
  <si>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</si>
  <si>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</si>
  <si>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</si>
  <si>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</si>
  <si>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</si>
  <si>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</si>
  <si>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</si>
  <si>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</si>
  <si>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</si>
  <si>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</si>
  <si>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</si>
  <si>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</si>
  <si>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</si>
  <si>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</si>
  <si>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</si>
  <si>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</si>
  <si>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</si>
  <si>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</si>
  <si>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</si>
  <si>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</si>
  <si>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</si>
  <si>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</si>
  <si>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</si>
  <si>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</si>
  <si>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</si>
  <si>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</si>
  <si>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</si>
  <si>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</si>
  <si>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</si>
  <si>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</si>
  <si>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</si>
  <si>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</si>
  <si>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</si>
  <si>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</si>
  <si>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</si>
  <si>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</si>
  <si>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</si>
  <si>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</si>
  <si>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</si>
  <si>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</si>
  <si>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</si>
  <si>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</si>
  <si>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</si>
  <si>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</si>
  <si>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</si>
  <si>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</si>
  <si>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</si>
  <si>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</si>
  <si>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</si>
  <si>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</si>
  <si>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</si>
  <si>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</si>
  <si>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</si>
  <si>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</si>
  <si>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</si>
  <si>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</si>
  <si>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</si>
  <si>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</si>
  <si>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</si>
  <si>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</si>
  <si>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</si>
  <si>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</si>
  <si>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</si>
  <si>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</si>
  <si>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</si>
  <si>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</si>
  <si>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</si>
  <si>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</si>
  <si>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</si>
  <si>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</si>
  <si>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</si>
  <si>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</si>
  <si>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</si>
  <si>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</si>
  <si>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</si>
  <si>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</si>
  <si>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</si>
  <si>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</si>
  <si>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</si>
  <si>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</si>
  <si>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</si>
  <si>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</si>
  <si>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</si>
  <si>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</si>
  <si>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</si>
  <si>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</si>
  <si>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</si>
  <si>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</si>
  <si>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</si>
  <si>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</si>
  <si>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</si>
  <si>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</si>
  <si>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</si>
  <si>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</si>
  <si>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</si>
  <si>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</si>
  <si>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</si>
  <si>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</si>
  <si>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</si>
  <si>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</si>
  <si>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</si>
  <si>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</si>
  <si>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</si>
  <si>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</si>
  <si>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</si>
  <si>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</si>
  <si>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</si>
  <si>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</si>
  <si>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</si>
  <si>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</si>
  <si>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</si>
  <si>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</si>
  <si>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</si>
  <si>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</si>
  <si>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</si>
  <si>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</si>
  <si>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</si>
  <si>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</si>
  <si>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</si>
  <si>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</si>
  <si>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</si>
  <si>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</si>
  <si>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</si>
  <si>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</si>
  <si>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</si>
  <si>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</si>
  <si>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</si>
  <si>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</si>
  <si>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</si>
  <si>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</si>
  <si>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</si>
  <si>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</si>
  <si>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</si>
  <si>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</si>
  <si>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</si>
  <si>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</si>
  <si>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</si>
  <si>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</si>
  <si>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</si>
  <si>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</si>
  <si>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</si>
  <si>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</si>
  <si>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</si>
  <si>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</si>
  <si>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</si>
  <si>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</si>
  <si>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</si>
  <si>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</si>
  <si>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</si>
  <si>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</si>
  <si>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</si>
  <si>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</si>
  <si>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</si>
  <si>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</si>
  <si>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</si>
  <si>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</si>
  <si>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</si>
  <si>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</si>
  <si>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</si>
  <si>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</si>
  <si>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</si>
  <si>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</si>
  <si>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</si>
  <si>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</si>
  <si>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</si>
  <si>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</si>
  <si>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</si>
  <si>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</si>
  <si>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</si>
  <si>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</si>
  <si>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</si>
  <si>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</si>
  <si>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</si>
  <si>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</si>
  <si>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</si>
  <si>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</si>
  <si>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</si>
  <si>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</si>
  <si>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</si>
  <si>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</si>
  <si>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</si>
  <si>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</si>
  <si>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</si>
  <si>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</si>
  <si>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</si>
  <si>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</si>
  <si>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</si>
  <si>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</si>
  <si>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</si>
  <si>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</si>
  <si>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</si>
  <si>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</si>
  <si>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</si>
  <si>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</si>
  <si>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</si>
  <si>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</si>
  <si>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</si>
  <si>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</si>
  <si>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</si>
  <si>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</si>
  <si>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</si>
  <si>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</si>
  <si>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</si>
  <si>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</si>
  <si>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</si>
  <si>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</si>
  <si>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</si>
  <si>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</si>
  <si>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</si>
  <si>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</si>
  <si>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</si>
  <si>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</si>
  <si>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</si>
  <si>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</si>
  <si>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</si>
  <si>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</si>
  <si>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</si>
  <si>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</si>
  <si>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</si>
  <si>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</si>
  <si>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</si>
  <si>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</si>
  <si>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</si>
  <si>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</si>
  <si>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</si>
  <si>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</si>
  <si>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</si>
  <si>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</si>
  <si>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</si>
  <si>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</si>
  <si>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</si>
  <si>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</si>
  <si>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</si>
  <si>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</si>
  <si>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</si>
  <si>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</si>
  <si>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</si>
  <si>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</si>
  <si>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</si>
  <si>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</si>
  <si>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</si>
  <si>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</si>
  <si>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</si>
  <si>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</si>
  <si>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</si>
  <si>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</si>
  <si>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</si>
  <si>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</si>
  <si>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</si>
  <si>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</si>
  <si>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</si>
  <si>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</si>
  <si>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</si>
  <si>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</si>
  <si>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</si>
  <si>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</si>
  <si>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</si>
  <si>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</si>
  <si>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</si>
  <si>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</si>
  <si>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</si>
  <si>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</si>
  <si>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</si>
  <si>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</si>
  <si>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</si>
  <si>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</si>
  <si>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</si>
  <si>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</si>
  <si>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</si>
  <si>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</si>
  <si>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</si>
  <si>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</si>
  <si>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</si>
  <si>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</si>
  <si>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</si>
  <si>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</si>
  <si>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</si>
  <si>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</si>
  <si>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</si>
  <si>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</si>
  <si>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</si>
  <si>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</si>
  <si>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</si>
  <si>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</si>
  <si>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</si>
  <si>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</si>
  <si>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</si>
  <si>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</si>
  <si>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</si>
  <si>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</si>
  <si>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</si>
  <si>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</si>
  <si>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</si>
  <si>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</si>
  <si>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</si>
  <si>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</si>
  <si>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</si>
  <si>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</si>
  <si>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</si>
  <si>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</si>
  <si>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</si>
  <si>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</si>
  <si>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</si>
  <si>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</si>
  <si>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</si>
  <si>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</si>
  <si>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</si>
  <si>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</si>
  <si>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</si>
  <si>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</si>
  <si>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</si>
  <si>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</si>
  <si>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</si>
  <si>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</si>
  <si>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</si>
  <si>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</si>
  <si>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</si>
  <si>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</si>
  <si>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</si>
  <si>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</si>
  <si>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</si>
  <si>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</si>
  <si>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</si>
  <si>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</si>
  <si>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</si>
  <si>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</si>
  <si>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</si>
  <si>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</si>
  <si>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</si>
  <si>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</si>
  <si>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</si>
  <si>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</si>
  <si>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</si>
  <si>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</si>
  <si>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</si>
  <si>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</si>
  <si>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</si>
  <si>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</si>
  <si>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</si>
  <si>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</si>
  <si>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</si>
  <si>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</si>
  <si>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</si>
  <si>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</si>
  <si>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</si>
  <si>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</si>
  <si>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</si>
  <si>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</si>
  <si>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</si>
  <si>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</si>
  <si>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</si>
  <si>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</si>
  <si>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</si>
  <si>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</si>
  <si>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</si>
  <si>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</si>
  <si>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</si>
  <si>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</si>
  <si>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</si>
  <si>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</si>
  <si>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</si>
  <si>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</si>
  <si>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</si>
  <si>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</si>
  <si>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</si>
  <si>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</si>
  <si>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</si>
  <si>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</si>
  <si>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</si>
  <si>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</si>
  <si>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</si>
  <si>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</si>
  <si>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</si>
  <si>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</si>
  <si>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</si>
  <si>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</si>
  <si>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</si>
  <si>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</si>
  <si>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</si>
  <si>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</si>
  <si>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</si>
  <si>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</si>
  <si>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</si>
  <si>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</si>
  <si>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</si>
  <si>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</si>
  <si>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</si>
  <si>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</si>
  <si>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</si>
  <si>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</si>
  <si>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</si>
  <si>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</si>
  <si>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</si>
  <si>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</si>
  <si>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</si>
  <si>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</si>
  <si>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</si>
  <si>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</si>
  <si>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</si>
  <si>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</si>
  <si>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</si>
  <si>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</si>
  <si>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</si>
  <si>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</si>
  <si>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</si>
  <si>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</si>
  <si>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</si>
  <si>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</si>
  <si>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</si>
  <si>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</si>
  <si>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</si>
  <si>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</si>
  <si>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</si>
  <si>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</si>
  <si>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</si>
  <si>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</si>
  <si>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</si>
  <si>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</si>
  <si>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</si>
  <si>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</si>
  <si>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</si>
  <si>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</si>
  <si>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</si>
  <si>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</si>
  <si>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</si>
  <si>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</si>
  <si>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</si>
  <si>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</si>
  <si>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</si>
  <si>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</si>
  <si>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</si>
  <si>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</si>
  <si>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</si>
  <si>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</si>
  <si>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</si>
  <si>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</si>
  <si>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</si>
  <si>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</si>
  <si>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</si>
  <si>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</si>
  <si>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</si>
  <si>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</si>
  <si>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</si>
  <si>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</si>
  <si>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</si>
  <si>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</si>
  <si>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</si>
  <si>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</si>
  <si>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</si>
  <si>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</si>
  <si>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</si>
  <si>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</si>
  <si>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</si>
  <si>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</si>
  <si>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</si>
  <si>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</si>
  <si>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</si>
  <si>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</si>
  <si>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</si>
  <si>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</si>
  <si>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</si>
  <si>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</si>
  <si>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</si>
  <si>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</si>
  <si>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</si>
  <si>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</si>
  <si>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</si>
  <si>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</si>
  <si>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</si>
  <si>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</si>
  <si>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</si>
  <si>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</si>
  <si>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</si>
  <si>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</si>
  <si>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</si>
  <si>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</si>
  <si>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</si>
  <si>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</si>
  <si>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</si>
  <si>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</si>
  <si>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</si>
  <si>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</si>
  <si>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</si>
  <si>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</si>
  <si>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</si>
  <si>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</si>
  <si>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</si>
  <si>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</si>
  <si>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</si>
  <si>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</si>
  <si>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</si>
  <si>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</si>
  <si>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</si>
  <si>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</si>
  <si>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</si>
  <si>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</si>
  <si>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</si>
  <si>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</si>
  <si>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</si>
  <si>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</si>
  <si>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</si>
  <si>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</si>
  <si>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</si>
  <si>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</si>
  <si>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</si>
  <si>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</si>
  <si>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</si>
  <si>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</si>
  <si>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</si>
  <si>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</si>
  <si>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</si>
  <si>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</si>
  <si>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</si>
  <si>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</si>
  <si>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</si>
  <si>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</si>
  <si>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</si>
  <si>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</si>
  <si>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</si>
  <si>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</si>
  <si>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</si>
  <si>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</si>
  <si>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</si>
  <si>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</si>
  <si>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</si>
  <si>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</si>
  <si>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</si>
  <si>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</si>
  <si>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</si>
  <si>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</si>
  <si>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</si>
  <si>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</si>
  <si>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</si>
  <si>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</si>
  <si>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</si>
  <si>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</si>
  <si>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</si>
  <si>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</si>
  <si>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</si>
  <si>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</si>
  <si>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</si>
  <si>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</si>
  <si>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</si>
  <si>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</si>
  <si>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</si>
  <si>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</si>
  <si>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</si>
  <si>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</si>
  <si>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</si>
  <si>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</si>
  <si>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</si>
  <si>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</si>
  <si>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</si>
  <si>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</si>
  <si>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</si>
  <si>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</si>
  <si>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</si>
  <si>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</si>
  <si>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</si>
  <si>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</si>
  <si>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</si>
  <si>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</si>
  <si>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</si>
  <si>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</si>
  <si>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</si>
  <si>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</si>
  <si>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</si>
  <si>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</si>
  <si>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</si>
  <si>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</si>
  <si>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</si>
  <si>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</si>
  <si>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</si>
  <si>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</si>
  <si>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</si>
  <si>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</si>
  <si>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</si>
  <si>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</si>
  <si>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</si>
  <si>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</si>
  <si>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</si>
  <si>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</si>
  <si>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</si>
  <si>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</si>
  <si>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</si>
  <si>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</si>
  <si>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</si>
  <si>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</si>
  <si>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</si>
  <si>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</si>
  <si>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</si>
  <si>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</si>
  <si>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</si>
  <si>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</si>
  <si>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</si>
  <si>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</si>
  <si>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</si>
  <si>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</si>
  <si>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</si>
  <si>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</si>
  <si>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</si>
  <si>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</si>
  <si>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</si>
  <si>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</si>
  <si>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</si>
  <si>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</si>
  <si>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</si>
  <si>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</si>
  <si>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</si>
  <si>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</si>
  <si>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</si>
  <si>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</si>
  <si>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</si>
  <si>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</si>
  <si>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</si>
  <si>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</si>
  <si>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</si>
  <si>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</si>
  <si>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</si>
  <si>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</si>
  <si>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</si>
  <si>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</si>
  <si>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</si>
  <si>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</si>
  <si>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</si>
  <si>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</si>
  <si>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</si>
  <si>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</si>
  <si>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</si>
  <si>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</si>
  <si>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</si>
  <si>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</si>
  <si>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</si>
  <si>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</si>
  <si>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</si>
  <si>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</si>
  <si>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</si>
  <si>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</si>
  <si>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</si>
  <si>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</si>
  <si>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</si>
  <si>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</si>
  <si>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</si>
  <si>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</si>
  <si>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</si>
  <si>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</si>
  <si>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</si>
  <si>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</si>
  <si>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</si>
  <si>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</si>
  <si>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</si>
  <si>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</si>
  <si>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</si>
  <si>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</si>
  <si>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</si>
  <si>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</si>
  <si>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</si>
  <si>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</si>
  <si>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</si>
  <si>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</si>
  <si>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</si>
  <si>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</si>
  <si>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</si>
  <si>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</si>
  <si>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</si>
  <si>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</si>
  <si>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</si>
  <si>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</si>
  <si>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</si>
  <si>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</si>
  <si>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</si>
  <si>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</si>
  <si>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</si>
  <si>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</si>
  <si>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</si>
  <si>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</si>
  <si>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</si>
  <si>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</si>
  <si>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</si>
  <si>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</si>
  <si>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</si>
  <si>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</si>
  <si>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</si>
  <si>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</si>
  <si>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</si>
  <si>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</si>
  <si>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</si>
  <si>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</si>
  <si>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</si>
  <si>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</si>
  <si>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</si>
  <si>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</si>
  <si>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</si>
  <si>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</si>
  <si>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</si>
  <si>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</si>
  <si>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</si>
  <si>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</si>
  <si>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</si>
  <si>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</si>
  <si>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</si>
  <si>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</si>
  <si>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</si>
  <si>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</si>
  <si>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</si>
  <si>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</si>
  <si>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</si>
  <si>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</si>
  <si>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</si>
  <si>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</si>
  <si>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</si>
  <si>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</si>
  <si>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</si>
  <si>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</si>
  <si>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</si>
  <si>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</si>
  <si>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</si>
  <si>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</si>
  <si>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</si>
  <si>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</si>
  <si>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</si>
  <si>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</si>
  <si>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</si>
  <si>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</si>
  <si>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</si>
  <si>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</si>
  <si>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</si>
  <si>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</si>
  <si>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</si>
  <si>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</si>
  <si>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</si>
  <si>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</si>
  <si>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</si>
  <si>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</si>
  <si>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</si>
  <si>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</si>
  <si>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</si>
  <si>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</si>
  <si>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</si>
  <si>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</si>
  <si>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</si>
  <si>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</si>
  <si>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</si>
  <si>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</si>
  <si>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</si>
  <si>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</si>
  <si>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</si>
  <si>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</si>
  <si>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</si>
  <si>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</si>
  <si>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</si>
  <si>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</si>
  <si>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</si>
  <si>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</si>
  <si>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</si>
  <si>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</si>
  <si>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</si>
  <si>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</si>
  <si>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</si>
  <si>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</si>
  <si>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</si>
  <si>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</si>
  <si>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</si>
  <si>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</si>
  <si>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</si>
  <si>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</si>
  <si>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</si>
  <si>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</si>
  <si>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</si>
  <si>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</si>
  <si>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</si>
  <si>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</si>
  <si>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</si>
  <si>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</si>
  <si>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</si>
  <si>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</si>
  <si>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</si>
  <si>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</si>
  <si>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</si>
  <si>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</si>
  <si>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</si>
  <si>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</si>
  <si>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</si>
  <si>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</si>
  <si>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</si>
  <si>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</si>
  <si>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</si>
  <si>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</si>
  <si>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</si>
  <si>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</si>
  <si>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</si>
  <si>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</si>
  <si>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</si>
  <si>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</si>
  <si>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</si>
  <si>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</si>
  <si>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</si>
  <si>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</si>
  <si>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</si>
  <si>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</si>
  <si>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</si>
  <si>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</si>
  <si>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</si>
  <si>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</si>
  <si>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</si>
  <si>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</si>
  <si>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</si>
  <si>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</si>
  <si>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</si>
  <si>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</si>
  <si>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</si>
  <si>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</si>
  <si>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</si>
  <si>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</si>
  <si>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</si>
  <si>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</si>
  <si>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</si>
  <si>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</si>
  <si>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</si>
  <si>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</si>
  <si>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</si>
  <si>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</si>
  <si>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</si>
  <si>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</si>
  <si>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</si>
  <si>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</si>
  <si>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</si>
  <si>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</si>
  <si>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</si>
  <si>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</si>
  <si>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</si>
  <si>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</si>
  <si>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</si>
  <si>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</si>
  <si>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</si>
  <si>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</si>
  <si>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</si>
  <si>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</si>
  <si>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</si>
  <si>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</si>
  <si>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</si>
  <si>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</si>
  <si>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</si>
  <si>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</si>
  <si>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</si>
  <si>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</si>
  <si>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</si>
  <si>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</si>
  <si>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</si>
  <si>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</si>
  <si>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</si>
  <si>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</si>
  <si>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</si>
  <si>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</si>
  <si>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</si>
  <si>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</si>
  <si>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</si>
  <si>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</si>
  <si>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</si>
  <si>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</si>
  <si>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</si>
  <si>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</si>
  <si>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</si>
  <si>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</si>
  <si>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</si>
  <si>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</si>
  <si>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</si>
  <si>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</si>
  <si>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</si>
  <si>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</si>
  <si>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</si>
  <si>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</si>
  <si>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</si>
  <si>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</si>
  <si>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</si>
  <si>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</si>
  <si>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</si>
  <si>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</si>
  <si>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</si>
  <si>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</si>
  <si>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</si>
  <si>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</si>
  <si>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</si>
  <si>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</si>
  <si>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</si>
  <si>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</si>
  <si>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</si>
  <si>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</si>
  <si>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</si>
  <si>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</si>
  <si>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</si>
  <si>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</si>
  <si>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</si>
  <si>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</si>
  <si>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</si>
  <si>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</si>
  <si>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</si>
  <si>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</si>
  <si>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</si>
  <si>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</si>
  <si>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</si>
  <si>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</si>
  <si>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</si>
  <si>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</si>
  <si>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</si>
  <si>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</si>
  <si>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</si>
  <si>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</si>
  <si>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</si>
  <si>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</si>
  <si>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</si>
  <si>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</si>
  <si>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</si>
  <si>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</si>
  <si>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</si>
  <si>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</si>
  <si>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</si>
  <si>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</si>
  <si>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</si>
  <si>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</si>
  <si>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</si>
  <si>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</si>
  <si>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</si>
  <si>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</si>
  <si>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</si>
  <si>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</si>
  <si>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</si>
  <si>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</si>
  <si>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</si>
  <si>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</si>
  <si>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</si>
  <si>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</si>
  <si>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</si>
  <si>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</si>
  <si>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</si>
  <si>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</si>
  <si>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</si>
  <si>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</si>
  <si>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</si>
  <si>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</si>
  <si>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</si>
  <si>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</si>
  <si>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</si>
  <si>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</si>
  <si>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</si>
  <si>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</si>
  <si>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</si>
  <si>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</si>
  <si>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</si>
  <si>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</si>
  <si>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</si>
  <si>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</si>
  <si>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</si>
  <si>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</si>
  <si>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</si>
  <si>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</si>
  <si>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</si>
  <si>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</si>
  <si>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</si>
  <si>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</si>
  <si>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</si>
  <si>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</si>
  <si>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</si>
  <si>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</si>
  <si>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</si>
  <si>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</si>
  <si>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</si>
  <si>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</si>
  <si>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</si>
  <si>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</si>
  <si>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</si>
  <si>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</si>
  <si>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</si>
  <si>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</si>
  <si>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</si>
  <si>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</si>
  <si>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</si>
  <si>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</si>
  <si>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</si>
  <si>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</si>
  <si>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</si>
  <si>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</si>
  <si>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</si>
  <si>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</si>
  <si>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</si>
  <si>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</si>
  <si>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</si>
  <si>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</si>
  <si>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</si>
  <si>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</si>
  <si>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</si>
  <si>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</si>
  <si>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</si>
  <si>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</si>
  <si>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</si>
  <si>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</si>
  <si>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</si>
  <si>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</si>
  <si>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</si>
  <si>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</si>
  <si>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</si>
  <si>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</si>
  <si>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</si>
  <si>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</si>
  <si>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</si>
  <si>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</si>
  <si>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</si>
  <si>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</si>
  <si>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</si>
  <si>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</si>
  <si>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</si>
  <si>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</si>
  <si>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</si>
  <si>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</si>
  <si>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</si>
  <si>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</si>
  <si>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</si>
  <si>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</si>
  <si>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</si>
  <si>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</si>
  <si>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</si>
  <si>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</si>
  <si>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</si>
  <si>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</si>
  <si>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</si>
  <si>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</si>
  <si>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</si>
  <si>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</si>
  <si>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</si>
  <si>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</si>
  <si>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</si>
  <si>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</si>
  <si>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</si>
  <si>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</si>
  <si>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</si>
  <si>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</si>
  <si>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</si>
  <si>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</si>
  <si>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</si>
  <si>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</si>
  <si>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</si>
  <si>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</si>
  <si>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</si>
  <si>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</si>
  <si>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</si>
  <si>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</si>
  <si>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</si>
  <si>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</si>
  <si>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</si>
  <si>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</si>
  <si>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</si>
  <si>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</si>
  <si>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</si>
  <si>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</si>
  <si>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</si>
  <si>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</si>
  <si>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</si>
  <si>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</si>
  <si>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</si>
  <si>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</si>
  <si>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</si>
  <si>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</si>
  <si>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</si>
  <si>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</si>
  <si>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</si>
  <si>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</si>
  <si>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</si>
  <si>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</si>
  <si>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</si>
  <si>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</si>
  <si>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</si>
  <si>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</si>
  <si>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</si>
  <si>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</si>
  <si>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</si>
  <si>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</si>
  <si>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</si>
  <si>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</si>
  <si>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</si>
  <si>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</si>
  <si>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</si>
  <si>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</si>
  <si>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</si>
  <si>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</si>
  <si>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</si>
  <si>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</si>
  <si>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</si>
  <si>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</si>
  <si>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</si>
  <si>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</si>
  <si>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</si>
  <si>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</si>
  <si>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</si>
  <si>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</si>
  <si>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</si>
  <si>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</si>
  <si>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</si>
  <si>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</si>
  <si>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</si>
  <si>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</si>
  <si>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</si>
  <si>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</si>
  <si>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</si>
  <si>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</si>
  <si>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</si>
  <si>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</si>
  <si>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</si>
  <si>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</si>
  <si>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</si>
  <si>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</si>
  <si>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</si>
  <si>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</si>
  <si>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</si>
  <si>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</si>
  <si>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</si>
  <si>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</si>
  <si>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</si>
  <si>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</si>
  <si>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</si>
  <si>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</si>
  <si>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</si>
  <si>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</si>
  <si>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</si>
  <si>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</si>
  <si>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</si>
  <si>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</si>
  <si>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</si>
  <si>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</si>
  <si>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</si>
  <si>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</si>
  <si>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</si>
  <si>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</si>
  <si>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</si>
  <si>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</si>
  <si>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</si>
  <si>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</si>
  <si>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</si>
  <si>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</si>
  <si>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</si>
  <si>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</si>
  <si>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</si>
  <si>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</si>
  <si>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</si>
  <si>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</si>
  <si>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</si>
  <si>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</si>
  <si>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</si>
  <si>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</si>
  <si>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</si>
  <si>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</si>
  <si>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</si>
  <si>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</si>
  <si>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</si>
  <si>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</si>
  <si>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</si>
  <si>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</si>
  <si>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</si>
  <si>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</si>
  <si>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</si>
  <si>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</si>
  <si>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</si>
  <si>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</si>
  <si>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</si>
  <si>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</si>
  <si>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</si>
  <si>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</si>
  <si>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</si>
  <si>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</si>
  <si>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</si>
  <si>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</si>
  <si>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</si>
  <si>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</si>
  <si>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</si>
  <si>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</si>
  <si>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</si>
  <si>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</si>
  <si>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</si>
  <si>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</si>
  <si>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</si>
  <si>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</si>
  <si>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</si>
  <si>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</si>
  <si>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</si>
  <si>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</si>
  <si>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</si>
  <si>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</si>
  <si>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</si>
  <si>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</si>
  <si>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</si>
  <si>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</si>
  <si>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</si>
  <si>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</si>
  <si>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</si>
  <si>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</si>
  <si>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</si>
  <si>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</si>
  <si>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</si>
  <si>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</si>
  <si>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</si>
  <si>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</si>
  <si>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</si>
  <si>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</si>
  <si>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</si>
  <si>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</si>
  <si>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</si>
  <si>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</si>
  <si>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</si>
  <si>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</si>
  <si>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</si>
  <si>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</si>
  <si>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</si>
  <si>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</si>
  <si>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</si>
  <si>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</si>
  <si>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</si>
  <si>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</si>
  <si>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</si>
  <si>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</si>
  <si>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</si>
  <si>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</si>
  <si>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</si>
  <si>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</si>
  <si>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</si>
  <si>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</si>
  <si>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</si>
  <si>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</si>
  <si>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</si>
  <si>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</si>
  <si>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</si>
  <si>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</si>
  <si>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</si>
  <si>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</si>
  <si>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</si>
  <si>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</si>
  <si>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</si>
  <si>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</si>
  <si>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</si>
  <si>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</si>
  <si>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</si>
  <si>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</si>
  <si>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</si>
  <si>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</si>
  <si>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</si>
  <si>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</si>
  <si>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</si>
  <si>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</si>
  <si>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</si>
  <si>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</si>
  <si>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</si>
  <si>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</si>
  <si>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</si>
  <si>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</si>
  <si>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</si>
  <si>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</si>
  <si>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</si>
  <si>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</si>
  <si>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</si>
  <si>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</si>
  <si>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</si>
  <si>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</si>
  <si>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</si>
  <si>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</si>
  <si>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</si>
  <si>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</si>
  <si>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</si>
  <si>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</si>
  <si>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</si>
  <si>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</si>
  <si>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</si>
  <si>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</si>
  <si>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</si>
  <si>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</si>
  <si>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</si>
  <si>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</si>
  <si>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</si>
  <si>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</si>
  <si>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</si>
  <si>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</si>
  <si>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</si>
  <si>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</si>
  <si>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</si>
  <si>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</si>
  <si>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</si>
  <si>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</si>
  <si>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</si>
  <si>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</si>
  <si>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</si>
  <si>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</si>
  <si>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</si>
  <si>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</si>
  <si>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</si>
  <si>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</si>
  <si>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</si>
  <si>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</si>
  <si>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</si>
  <si>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</si>
  <si>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</si>
  <si>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</si>
  <si>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</si>
  <si>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</si>
  <si>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</si>
  <si>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</si>
  <si>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</si>
  <si>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</si>
  <si>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</si>
  <si>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</si>
  <si>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</si>
  <si>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</si>
  <si>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</si>
  <si>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</si>
  <si>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</si>
  <si>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</si>
  <si>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</si>
  <si>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</si>
  <si>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</si>
  <si>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</si>
  <si>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</si>
  <si>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</si>
  <si>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</si>
  <si>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</si>
  <si>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</si>
  <si>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</si>
  <si>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</si>
  <si>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</si>
  <si>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</si>
  <si>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</si>
  <si>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</si>
  <si>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</si>
  <si>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</si>
  <si>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</si>
  <si>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</si>
  <si>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</si>
  <si>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</si>
  <si>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</si>
  <si>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</si>
  <si>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</si>
  <si>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</si>
  <si>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</si>
  <si>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</si>
  <si>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</si>
  <si>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</si>
  <si>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</si>
  <si>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</si>
  <si>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</si>
  <si>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</si>
  <si>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</si>
  <si>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</si>
  <si>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</si>
  <si>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</si>
  <si>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</si>
  <si>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</si>
  <si>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</si>
  <si>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</si>
  <si>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</si>
  <si>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</si>
  <si>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</si>
  <si>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</si>
  <si>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</si>
  <si>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</si>
  <si>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</si>
  <si>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</si>
  <si>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</si>
  <si>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</si>
  <si>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</si>
  <si>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</si>
  <si>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</si>
  <si>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</si>
  <si>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</si>
  <si>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</si>
  <si>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</si>
  <si>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</si>
  <si>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</si>
  <si>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</si>
  <si>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</si>
  <si>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</si>
  <si>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</si>
  <si>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</si>
  <si>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</si>
  <si>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</si>
  <si>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</si>
  <si>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</si>
  <si>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</si>
  <si>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</si>
  <si>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</si>
  <si>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</si>
  <si>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</si>
  <si>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</si>
  <si>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</si>
  <si>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</si>
  <si>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</si>
  <si>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</si>
  <si>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</si>
  <si>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</si>
  <si>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</si>
  <si>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</si>
  <si>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</si>
  <si>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</si>
  <si>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</si>
  <si>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</si>
  <si>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</si>
  <si>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</si>
  <si>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</si>
  <si>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</si>
  <si>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</si>
  <si>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</si>
  <si>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</si>
  <si>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</si>
  <si>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</si>
  <si>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</si>
  <si>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</si>
  <si>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</si>
  <si>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</si>
  <si>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</si>
  <si>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</si>
  <si>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</si>
  <si>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</si>
  <si>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</si>
  <si>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</si>
  <si>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</si>
  <si>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</si>
  <si>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</si>
  <si>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</si>
  <si>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</si>
  <si>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</si>
  <si>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</si>
  <si>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</si>
  <si>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</si>
  <si>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</si>
  <si>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</si>
  <si>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</si>
  <si>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</si>
  <si>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</si>
  <si>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</si>
  <si>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</si>
  <si>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</si>
  <si>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</si>
  <si>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</si>
  <si>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</si>
  <si>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</si>
  <si>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</si>
  <si>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</si>
  <si>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</si>
  <si>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</si>
  <si>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</si>
  <si>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</si>
  <si>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</si>
  <si>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</si>
  <si>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</si>
  <si>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</si>
  <si>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</si>
  <si>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</si>
  <si>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</si>
  <si>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</si>
  <si>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</si>
  <si>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</si>
  <si>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</si>
  <si>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</si>
  <si>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</si>
  <si>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</si>
  <si>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</si>
  <si>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</si>
  <si>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</si>
  <si>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</si>
  <si>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</si>
  <si>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</si>
  <si>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</si>
  <si>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</si>
  <si>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</si>
  <si>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</si>
  <si>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</si>
  <si>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</si>
  <si>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</si>
  <si>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</si>
  <si>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</si>
  <si>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</si>
  <si>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</si>
  <si>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</si>
  <si>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</si>
  <si>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</si>
  <si>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</si>
  <si>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</si>
  <si>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</si>
  <si>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</si>
  <si>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</si>
  <si>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</si>
  <si>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</si>
  <si>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</si>
  <si>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</si>
  <si>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</si>
  <si>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</si>
  <si>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</si>
  <si>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</si>
  <si>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</si>
  <si>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</si>
  <si>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</si>
  <si>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</si>
  <si>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</si>
  <si>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</si>
  <si>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</si>
  <si>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</si>
  <si>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</si>
  <si>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</si>
  <si>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</si>
  <si>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</si>
  <si>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</si>
  <si>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</si>
  <si>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</si>
  <si>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</si>
  <si>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</si>
  <si>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</si>
  <si>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</si>
  <si>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</si>
  <si>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</si>
  <si>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</si>
  <si>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</si>
  <si>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</si>
  <si>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</si>
  <si>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</si>
  <si>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</si>
  <si>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</si>
  <si>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</si>
  <si>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</si>
  <si>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</si>
  <si>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</si>
  <si>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</si>
  <si>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</si>
  <si>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</si>
  <si>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</si>
  <si>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</si>
  <si>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</si>
  <si>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</si>
  <si>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</si>
  <si>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</si>
  <si>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</si>
  <si>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</si>
  <si>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</si>
  <si>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</si>
  <si>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</si>
  <si>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</si>
  <si>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</si>
  <si>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</si>
  <si>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</si>
  <si>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</si>
  <si>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</si>
  <si>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</si>
  <si>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</si>
  <si>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</si>
  <si>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</si>
  <si>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</si>
  <si>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</si>
  <si>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</si>
  <si>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</si>
  <si>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</si>
  <si>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</si>
  <si>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</si>
  <si>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</si>
  <si>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</si>
  <si>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</si>
  <si>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</si>
  <si>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</si>
  <si>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</si>
  <si>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</si>
  <si>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</si>
  <si>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</si>
  <si>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</si>
  <si>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</si>
  <si>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</si>
  <si>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</si>
  <si>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</si>
  <si>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</si>
  <si>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</si>
  <si>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</si>
  <si>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</si>
  <si>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</si>
  <si>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</si>
  <si>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</si>
  <si>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</si>
  <si>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</si>
  <si>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</si>
  <si>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</si>
  <si>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</si>
  <si>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</si>
  <si>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</si>
  <si>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</si>
  <si>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</si>
  <si>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</si>
  <si>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</si>
  <si>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</si>
  <si>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</si>
  <si>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</si>
  <si>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</si>
  <si>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</si>
  <si>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</si>
  <si>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</si>
  <si>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</si>
  <si>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</si>
  <si>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</si>
  <si>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</si>
  <si>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</si>
  <si>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</si>
  <si>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</si>
  <si>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</si>
  <si>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</si>
  <si>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</si>
  <si>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</si>
  <si>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</si>
  <si>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</si>
  <si>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</si>
  <si>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</si>
  <si>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</si>
  <si>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</si>
  <si>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</si>
  <si>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</si>
  <si>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</si>
  <si>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</si>
  <si>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</si>
  <si>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</si>
  <si>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</si>
  <si>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</si>
  <si>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</si>
  <si>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</si>
  <si>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</si>
  <si>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</si>
  <si>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</si>
  <si>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</si>
  <si>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</si>
  <si>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</si>
  <si>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</si>
  <si>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</si>
  <si>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</si>
  <si>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</si>
  <si>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</si>
  <si>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</si>
  <si>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</si>
  <si>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</si>
  <si>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</si>
  <si>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</si>
  <si>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</si>
  <si>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</si>
  <si>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</si>
  <si>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</si>
  <si>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</si>
  <si>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</si>
  <si>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</si>
  <si>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</si>
  <si>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</si>
  <si>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</si>
  <si>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</si>
  <si>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</si>
  <si>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</si>
  <si>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</si>
  <si>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</si>
  <si>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</si>
  <si>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</si>
  <si>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</si>
  <si>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</si>
  <si>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</si>
  <si>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</si>
  <si>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</si>
  <si>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</si>
  <si>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</si>
  <si>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</si>
  <si>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</si>
  <si>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</si>
  <si>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</si>
  <si>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</si>
  <si>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</si>
  <si>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</si>
  <si>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</si>
  <si>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</si>
  <si>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</si>
  <si>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</si>
  <si>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</si>
  <si>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</si>
  <si>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</si>
  <si>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</si>
  <si>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</si>
  <si>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</si>
  <si>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</si>
  <si>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</si>
  <si>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</si>
  <si>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</si>
  <si>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</si>
  <si>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</si>
  <si>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</si>
  <si>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</si>
  <si>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</si>
  <si>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</si>
  <si>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</si>
  <si>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</si>
  <si>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</si>
  <si>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</si>
  <si>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</si>
  <si>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</si>
  <si>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</si>
  <si>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</si>
  <si>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</si>
  <si>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</si>
  <si>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</si>
  <si>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</si>
  <si>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</si>
  <si>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</si>
  <si>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</si>
  <si>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</si>
  <si>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</si>
  <si>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</si>
  <si>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</si>
  <si>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</si>
  <si>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</si>
  <si>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</si>
  <si>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</si>
  <si>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</si>
  <si>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</si>
  <si>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</si>
  <si>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</si>
  <si>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</si>
  <si>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</si>
  <si>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</si>
  <si>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</si>
  <si>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</si>
  <si>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</si>
  <si>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</si>
  <si>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</si>
  <si>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</si>
  <si>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</si>
  <si>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</si>
  <si>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</si>
  <si>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</si>
  <si>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</si>
  <si>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</si>
  <si>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</si>
  <si>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</si>
  <si>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</si>
  <si>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</si>
  <si>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</si>
  <si>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</si>
  <si>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</si>
  <si>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</si>
  <si>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</si>
  <si>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</si>
  <si>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</si>
  <si>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</si>
  <si>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</si>
  <si>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</si>
  <si>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赵雯</t>
  </si>
  <si>
    <t>崔锴</t>
  </si>
  <si>
    <t>抵押</t>
  </si>
  <si>
    <t>抵押价格</t>
  </si>
  <si>
    <t>其他：</t>
  </si>
  <si>
    <t>企业</t>
  </si>
  <si>
    <t>商业</t>
  </si>
  <si>
    <t>居住项目</t>
  </si>
  <si>
    <t>无</t>
  </si>
  <si>
    <t>否</t>
  </si>
  <si>
    <t>场地平整</t>
  </si>
  <si>
    <t>平整</t>
  </si>
  <si>
    <t>通路</t>
  </si>
  <si>
    <t>通电</t>
  </si>
  <si>
    <t>通讯</t>
  </si>
  <si>
    <t>通上水</t>
  </si>
  <si>
    <t>通热</t>
  </si>
  <si>
    <t>燃气</t>
  </si>
  <si>
    <t>地上</t>
  </si>
  <si>
    <t>普通住宅</t>
  </si>
  <si>
    <t>独立商业</t>
  </si>
  <si>
    <t>住宅</t>
    <phoneticPr fontId="7" type="noConversion"/>
  </si>
  <si>
    <t>商业</t>
    <phoneticPr fontId="7" type="noConversion"/>
  </si>
  <si>
    <t>较差</t>
    <phoneticPr fontId="3" type="noConversion"/>
  </si>
  <si>
    <t>较差</t>
    <phoneticPr fontId="3" type="noConversion"/>
  </si>
  <si>
    <t>七通</t>
    <phoneticPr fontId="3" type="noConversion"/>
  </si>
  <si>
    <t>一般</t>
    <phoneticPr fontId="3" type="noConversion"/>
  </si>
  <si>
    <t>较好</t>
    <phoneticPr fontId="21" type="noConversion"/>
  </si>
  <si>
    <t>楼面地价</t>
  </si>
  <si>
    <t>比较法-住宅、综合</t>
  </si>
  <si>
    <t>剩余法-待开发</t>
  </si>
  <si>
    <t>山东省日照市东港区蓝色大道以北、海六路以西住宅、商业用地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</si>
</sst>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5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山东省日照市东港区蓝色大道以北、海六路以西住宅、商业用地出让国有建设用地使用权抵押价格预评估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赵雯、崔锴</v>
      </c>
      <c r="N4" s="2835" t="str">
        <f>'预评函-1'!A28</f>
        <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受贵公司委托，我公司对山东省日照市东港区蓝色大道以北、海六路以西住宅、商业用地出让国有建设用地使用权抵押价格进行了预评估。</v>
      </c>
      <c r="AM6" s="2858"/>
    </row>
    <row r="7" spans="1:55" s="2832" customFormat="1">
      <c r="A7" s="2833" t="s">
        <v>2657</v>
      </c>
      <c r="B7" s="2834" t="str">
        <f>'预评函-1'!A6</f>
        <v>估价对象为使用的、位于山东省日照市东港区蓝色大道以北、海六路以西住宅、商业用地出让国有建设用地使用权。根据《国有土地使用证》[]，估价对象（分摊）出让国有建设用地使用权面积为103677.9平方米。根据《建设工程规划许可证》[]、《出让合同》[]，估价对象规划建筑面积为129597.37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山东省日照市东港区蓝色大道以北、海六路以西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2019年4月4日（评估专业人员勘察现场之日）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根据委托估价方介绍及评估专业人员现场勘查，本次评估估价对象实际土地开发程度为红线外市政基础设施达“七通”（即通路、通电、通讯、通上水、通上水、通热、燃气）、宗地红线内场地平整。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根据《国有土地使用证》[]，估价对象（分摊）出让国有建设用地使用权面积为103677.9平方米。根据《建设工程规划许可证》[]、《出让合同》[]，估价对象规划建筑面积为129597.37平方米。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11日、商业2058年12月11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估价期日：2019年4月4日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红线外七通、宗地红线内场地平整</v>
      </c>
    </row>
    <row r="39" spans="1:2">
      <c r="A39" s="2833" t="s">
        <v>2719</v>
      </c>
      <c r="B39" s="2834" t="str">
        <f>'预评函-2'!L5</f>
        <v>红线外七通、宗地红线内场地平整</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103677.9</v>
      </c>
    </row>
    <row r="44" spans="1:2">
      <c r="A44" s="2833" t="s">
        <v>2740</v>
      </c>
      <c r="B44" s="2834" t="str">
        <f>'预评函-2'!O3</f>
        <v>规划建筑面积/㎡</v>
      </c>
    </row>
    <row r="45" spans="1:2">
      <c r="A45" s="2833" t="s">
        <v>2722</v>
      </c>
      <c r="B45" s="2834">
        <f>'预评函-2'!O5</f>
        <v>129597.37</v>
      </c>
    </row>
    <row r="46" spans="1:2">
      <c r="A46" s="2833" t="s">
        <v>2723</v>
      </c>
      <c r="B46" s="2834">
        <f ca="1">'预评函-2'!P5</f>
        <v>1403</v>
      </c>
    </row>
    <row r="47" spans="1:2">
      <c r="A47" s="2833" t="s">
        <v>2724</v>
      </c>
      <c r="B47" s="2834">
        <f ca="1">'预评函-2'!Q5</f>
        <v>1122</v>
      </c>
    </row>
    <row r="48" spans="1:2">
      <c r="A48" s="2833" t="s">
        <v>2725</v>
      </c>
      <c r="B48" s="2834">
        <f ca="1">'预评函-2'!R5</f>
        <v>14543</v>
      </c>
    </row>
    <row r="49" spans="1:2">
      <c r="A49" s="2833" t="s">
        <v>2741</v>
      </c>
      <c r="B49" s="2834" t="str">
        <f>'预评函-2'!A6</f>
        <v>抵押价格</v>
      </c>
    </row>
    <row r="50" spans="1:2">
      <c r="A50" s="2833" t="s">
        <v>2726</v>
      </c>
      <c r="B50" s="2834">
        <f ca="1">'预评函-2'!R6</f>
        <v>14543</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2.基础设施条件：估价对象实际开发程度为红线外七通、宗地红线内场地平整；本次评估设定开发程度为红线外七通、宗地红线内场地平整。</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赵雯</v>
      </c>
    </row>
    <row r="70" spans="1:2">
      <c r="A70" s="2833" t="s">
        <v>2690</v>
      </c>
      <c r="B70" s="2840">
        <f ca="1">'预评函-3'!B20</f>
        <v>2011110090</v>
      </c>
    </row>
    <row r="71" spans="1:2">
      <c r="A71" s="2833" t="s">
        <v>2691</v>
      </c>
      <c r="B71" s="2834" t="str">
        <f>'预评函-3'!A21</f>
        <v>崔锴</v>
      </c>
    </row>
    <row r="72" spans="1:2" s="2848" customFormat="1" ht="15" thickBot="1">
      <c r="A72" s="2855" t="s">
        <v>2691</v>
      </c>
      <c r="B72" s="2861">
        <f ca="1">'预评函-3'!B21</f>
        <v>2010110070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80" zoomScaleNormal="100" zoomScaleSheetLayoutView="80" workbookViewId="0">
      <selection activeCell="F10" sqref="F1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7" t="str">
        <f>IF(B10="北京市","北京市",C10)&amp;F10&amp;B16&amp;"国有建设用地使用权"&amp;B9&amp;"预评估"</f>
        <v>山东省日照市东港区蓝色大道以北、海六路以西住宅、商业用地出让国有建设用地使用权抵押价格预评估</v>
      </c>
      <c r="C1" s="3228"/>
      <c r="D1" s="3228"/>
      <c r="E1" s="3228"/>
      <c r="F1" s="3228"/>
      <c r="G1" s="3228"/>
      <c r="H1" s="3228"/>
      <c r="I1" s="3229"/>
      <c r="J1" s="1678"/>
      <c r="K1" s="2419" t="str">
        <f>IF(B10="北京市","北京市",C10)&amp;F10&amp;B16&amp;"国有建设用地使用权"&amp;B9</f>
        <v>山东省日照市东港区蓝色大道以北、海六路以西住宅、商业用地出让国有建设用地使用权抵押价格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山东省日照市东港区蓝色大道以北、海六路以西住宅、商业用地出让国有建设用地使用权</v>
      </c>
      <c r="L2" s="1707"/>
      <c r="M2" s="1707"/>
      <c r="N2" s="1678"/>
      <c r="O2" s="1679"/>
      <c r="P2" s="1678"/>
      <c r="Q2" s="1678"/>
      <c r="R2" s="1678"/>
      <c r="S2" s="1678"/>
      <c r="T2" s="1678"/>
      <c r="U2" s="1678"/>
    </row>
    <row r="3" spans="1:21">
      <c r="A3" s="1645" t="s">
        <v>1939</v>
      </c>
      <c r="B3" s="1646">
        <v>43559</v>
      </c>
      <c r="C3" s="1647" t="s">
        <v>1995</v>
      </c>
      <c r="D3" s="1646">
        <f>B3</f>
        <v>43559</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2986</v>
      </c>
      <c r="C4" s="1830">
        <f ca="1">SUMIF(土地估价师,B4,估价师及机构信息!E3:E24)</f>
        <v>2011110090</v>
      </c>
      <c r="D4" s="1827" t="s">
        <v>2987</v>
      </c>
      <c r="E4" s="1830">
        <f ca="1">SUMIF(土地估价师,D4,估价师及机构信息!E3:E24)</f>
        <v>2010110070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赵雯、崔锴</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2988</v>
      </c>
      <c r="C8" s="1655"/>
      <c r="D8" s="3233" t="s">
        <v>1944</v>
      </c>
      <c r="E8" s="1828" t="s">
        <v>2989</v>
      </c>
      <c r="F8" s="1656"/>
      <c r="G8" s="1644"/>
      <c r="H8" s="1644"/>
      <c r="I8" s="1691"/>
      <c r="J8" s="1678"/>
      <c r="K8" s="1758"/>
      <c r="L8" s="1707"/>
      <c r="M8" s="1707"/>
      <c r="N8" s="1678"/>
      <c r="O8" s="1679"/>
      <c r="P8" s="1678"/>
      <c r="Q8" s="1678"/>
      <c r="R8" s="1678"/>
      <c r="S8" s="1678"/>
      <c r="T8" s="1678"/>
      <c r="U8" s="1678"/>
    </row>
    <row r="9" spans="1:21" ht="15" thickBot="1">
      <c r="A9" s="1657" t="s">
        <v>1943</v>
      </c>
      <c r="B9" s="1658" t="s">
        <v>2989</v>
      </c>
      <c r="C9" s="1659"/>
      <c r="D9" s="3234"/>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t="s">
        <v>2990</v>
      </c>
      <c r="C10" s="1660"/>
      <c r="D10" s="1651"/>
      <c r="E10" s="1661" t="s">
        <v>1946</v>
      </c>
      <c r="F10" s="1662" t="s">
        <v>3017</v>
      </c>
      <c r="G10" s="1729"/>
      <c r="H10" s="1730"/>
      <c r="I10" s="1651"/>
      <c r="J10" s="1678"/>
      <c r="K10" s="1758"/>
      <c r="L10" s="1707"/>
      <c r="M10" s="1707"/>
      <c r="N10" s="1678"/>
      <c r="O10" s="1679"/>
      <c r="P10" s="1678"/>
      <c r="Q10" s="1678"/>
      <c r="R10" s="1678"/>
      <c r="S10" s="1678"/>
      <c r="T10" s="1678"/>
      <c r="U10" s="1678"/>
    </row>
    <row r="11" spans="1:21">
      <c r="A11" s="1681" t="s">
        <v>2000</v>
      </c>
      <c r="B11" s="1682" t="s">
        <v>2991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0"/>
      <c r="C12" s="3231"/>
      <c r="D12" s="3232"/>
      <c r="E12" s="1683" t="s">
        <v>2061</v>
      </c>
      <c r="F12" s="3248" t="s">
        <v>2889</v>
      </c>
      <c r="G12" s="3249"/>
      <c r="H12" s="3249"/>
      <c r="I12" s="3250"/>
      <c r="J12" s="1678"/>
      <c r="K12" s="1758"/>
      <c r="L12" s="1707"/>
      <c r="M12" s="1707"/>
      <c r="N12" s="1678"/>
      <c r="O12" s="1679"/>
      <c r="P12" s="1678"/>
      <c r="Q12" s="1678"/>
      <c r="R12" s="1678"/>
      <c r="S12" s="1678"/>
      <c r="T12" s="1678"/>
      <c r="U12" s="1678"/>
    </row>
    <row r="13" spans="1:21">
      <c r="A13" s="1671" t="s">
        <v>2059</v>
      </c>
      <c r="B13" s="3230"/>
      <c r="C13" s="3231"/>
      <c r="D13" s="3232"/>
      <c r="E13" s="1683" t="s">
        <v>2061</v>
      </c>
      <c r="F13" s="3248" t="s">
        <v>2890</v>
      </c>
      <c r="G13" s="3249"/>
      <c r="H13" s="3249"/>
      <c r="I13" s="3250"/>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c r="A16" s="1664" t="s">
        <v>1947</v>
      </c>
      <c r="B16" s="1665" t="s">
        <v>2982</v>
      </c>
      <c r="C16" s="1683" t="s">
        <v>1948</v>
      </c>
      <c r="D16" s="2610" t="s">
        <v>1949</v>
      </c>
      <c r="E16" s="1706" t="s">
        <v>2992</v>
      </c>
      <c r="F16" s="1706"/>
      <c r="G16" s="1706"/>
      <c r="H16" s="1706"/>
      <c r="I16" s="1670" t="s">
        <v>1954</v>
      </c>
      <c r="J16" s="1678"/>
      <c r="K16" s="2420" t="str">
        <f>IF(D17="","",D16&amp;TEXT(D17,"yyyy年m月d日;;"))</f>
        <v>住宅2088年12月11日</v>
      </c>
      <c r="L16" s="1683" t="str">
        <f>IF(OR(K16="",M16=""),"","、")</f>
        <v>、</v>
      </c>
      <c r="M16" s="2420" t="str">
        <f>IF(E17="","",E16&amp;TEXT(E17,"yyyy年m月d日;;"))</f>
        <v>商业2058年12月11日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69013</v>
      </c>
      <c r="E17" s="1684">
        <v>58055</v>
      </c>
      <c r="F17" s="1684"/>
      <c r="G17" s="1684"/>
      <c r="H17" s="1684"/>
      <c r="I17" s="1684"/>
      <c r="J17" s="1678"/>
      <c r="K17" s="2419" t="str">
        <f>CONCATENATE(K16,L16,M16,N16,O16,P16,Q16,R16,S16,T16,,U16)</f>
        <v>住宅2088年12月11日、商业2058年12月11日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69.73</v>
      </c>
      <c r="E19" s="1669">
        <f>IF(B16="出让",IF(E17="","",ROUNDDOWN(MIN((E17-$D$3)/365,E18),2)),E18)</f>
        <v>39.71</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5"/>
      <c r="E20" s="3246"/>
      <c r="F20" s="3246"/>
      <c r="G20" s="3246"/>
      <c r="H20" s="3246"/>
      <c r="I20" s="3247"/>
      <c r="J20" s="1678"/>
      <c r="K20" s="1758"/>
      <c r="L20" s="1707"/>
      <c r="M20" s="1707"/>
      <c r="N20" s="1678"/>
      <c r="O20" s="1679"/>
      <c r="P20" s="1678"/>
      <c r="Q20" s="1678"/>
      <c r="R20" s="1678"/>
      <c r="S20" s="1678"/>
      <c r="T20" s="1678"/>
      <c r="U20" s="1678"/>
    </row>
    <row r="21" spans="1:21">
      <c r="A21" s="1747" t="s">
        <v>1958</v>
      </c>
      <c r="B21" s="1748" t="s">
        <v>1959</v>
      </c>
      <c r="C21" s="1743">
        <f>'数据-汇总表'!E3</f>
        <v>129597.37</v>
      </c>
      <c r="D21" s="1744" t="s">
        <v>1960</v>
      </c>
      <c r="E21" s="3235" t="s">
        <v>1998</v>
      </c>
      <c r="F21" s="3236"/>
      <c r="G21" s="3236"/>
      <c r="H21" s="3236"/>
      <c r="I21" s="3237"/>
      <c r="J21" s="1678"/>
      <c r="K21" s="1758"/>
      <c r="L21" s="1707"/>
      <c r="M21" s="1707"/>
      <c r="N21" s="1678"/>
      <c r="O21" s="1679"/>
      <c r="P21" s="1678"/>
      <c r="Q21" s="1678"/>
      <c r="R21" s="1678"/>
      <c r="S21" s="1678"/>
      <c r="T21" s="1678"/>
      <c r="U21" s="1678"/>
    </row>
    <row r="22" spans="1:21">
      <c r="A22" s="3096" t="s">
        <v>952</v>
      </c>
      <c r="B22" s="1645" t="s">
        <v>1961</v>
      </c>
      <c r="C22" s="1670">
        <f>'数据-汇总表'!D3</f>
        <v>103677.9</v>
      </c>
      <c r="D22" s="1671" t="s">
        <v>1960</v>
      </c>
      <c r="E22" s="3235" t="s">
        <v>2891</v>
      </c>
      <c r="F22" s="3236"/>
      <c r="G22" s="3236"/>
      <c r="H22" s="3236"/>
      <c r="I22" s="3237"/>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8" t="s">
        <v>1966</v>
      </c>
      <c r="C24" s="3239"/>
      <c r="D24" s="3240" t="s">
        <v>1967</v>
      </c>
      <c r="E24" s="3241"/>
      <c r="F24" s="1692" t="s">
        <v>1968</v>
      </c>
      <c r="G24" s="1678"/>
      <c r="H24" s="1678"/>
      <c r="I24" s="1691"/>
      <c r="J24" s="1678"/>
      <c r="K24" s="3226"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12" t="s">
        <v>2001</v>
      </c>
      <c r="B31" s="1748" t="s">
        <v>2002</v>
      </c>
      <c r="C31" s="3251" t="s">
        <v>2993</v>
      </c>
      <c r="D31" s="3252"/>
      <c r="E31" s="1678"/>
      <c r="F31" s="1678"/>
      <c r="G31" s="1678"/>
      <c r="H31" s="1678"/>
      <c r="I31" s="1691"/>
      <c r="J31" s="1678"/>
      <c r="K31" s="2422"/>
      <c r="L31" s="1678"/>
      <c r="M31" s="1678"/>
      <c r="N31" s="1678"/>
      <c r="O31" s="1678"/>
      <c r="P31" s="1678"/>
      <c r="Q31" s="1678"/>
      <c r="R31" s="1678"/>
      <c r="S31" s="1678"/>
      <c r="T31" s="1678"/>
      <c r="U31" s="1678"/>
    </row>
    <row r="32" spans="1:21">
      <c r="A32" s="3212"/>
      <c r="B32" s="1645" t="s">
        <v>2003</v>
      </c>
      <c r="C32" s="1703" t="s">
        <v>2994</v>
      </c>
      <c r="D32" s="1704"/>
      <c r="E32" s="1678"/>
      <c r="F32" s="1678"/>
      <c r="G32" s="1678"/>
      <c r="H32" s="1678"/>
      <c r="I32" s="1691"/>
      <c r="J32" s="1678"/>
      <c r="K32" s="2422"/>
      <c r="L32" s="1678"/>
      <c r="M32" s="1678"/>
      <c r="N32" s="1678"/>
      <c r="O32" s="1678"/>
      <c r="P32" s="1678"/>
      <c r="Q32" s="1678"/>
      <c r="R32" s="1678"/>
      <c r="S32" s="1678"/>
      <c r="T32" s="1678"/>
      <c r="U32" s="1678"/>
    </row>
    <row r="33" spans="1:21">
      <c r="A33" s="3212"/>
      <c r="B33" s="1645" t="s">
        <v>2004</v>
      </c>
      <c r="C33" s="1705" t="s">
        <v>2995</v>
      </c>
      <c r="D33" s="1822"/>
      <c r="E33" s="1678"/>
      <c r="F33" s="1678"/>
      <c r="G33" s="1678"/>
      <c r="H33" s="1678"/>
      <c r="I33" s="1691"/>
      <c r="J33" s="1678"/>
      <c r="K33" s="2422"/>
      <c r="L33" s="1678"/>
      <c r="M33" s="1678"/>
      <c r="N33" s="1678"/>
      <c r="O33" s="1678"/>
      <c r="P33" s="1678"/>
      <c r="Q33" s="1678"/>
      <c r="R33" s="1678"/>
      <c r="S33" s="1678"/>
      <c r="T33" s="1678"/>
      <c r="U33" s="1678"/>
    </row>
    <row r="34" spans="1:21">
      <c r="A34" s="3213"/>
      <c r="B34" s="1645" t="s">
        <v>2005</v>
      </c>
      <c r="C34" s="3214"/>
      <c r="D34" s="3215"/>
      <c r="E34" s="1678"/>
      <c r="F34" s="1678"/>
      <c r="G34" s="1678"/>
      <c r="H34" s="1678"/>
      <c r="I34" s="1691"/>
      <c r="J34" s="1678"/>
      <c r="K34" s="2422"/>
      <c r="L34" s="1678"/>
      <c r="M34" s="1678"/>
      <c r="N34" s="1678"/>
      <c r="O34" s="1678"/>
      <c r="P34" s="1678"/>
      <c r="Q34" s="1678"/>
      <c r="R34" s="1678"/>
      <c r="S34" s="1678"/>
      <c r="T34" s="1678"/>
      <c r="U34" s="1678"/>
    </row>
    <row r="35" spans="1:21">
      <c r="A35" s="3216" t="s">
        <v>847</v>
      </c>
      <c r="B35" s="1706" t="s">
        <v>2996</v>
      </c>
      <c r="C35" s="1760" t="str">
        <f>IF(B35="场地平整","——","具体情况：")</f>
        <v>——</v>
      </c>
      <c r="D35" s="3218"/>
      <c r="E35" s="3219"/>
      <c r="F35" s="3219"/>
      <c r="G35" s="3219"/>
      <c r="H35" s="3219"/>
      <c r="I35" s="3220"/>
      <c r="J35" s="1678"/>
      <c r="K35" s="1759"/>
      <c r="L35" s="1707"/>
      <c r="M35" s="1707"/>
      <c r="N35" s="1678"/>
      <c r="O35" s="1679"/>
      <c r="P35" s="1678"/>
      <c r="Q35" s="1678"/>
      <c r="R35" s="1678"/>
      <c r="S35" s="1678"/>
      <c r="T35" s="1678"/>
      <c r="U35" s="1678"/>
    </row>
    <row r="36" spans="1:21">
      <c r="A36" s="3212"/>
      <c r="B36" s="3221" t="s">
        <v>2054</v>
      </c>
      <c r="C36" s="3222"/>
      <c r="D36" s="1776" t="s">
        <v>2997</v>
      </c>
      <c r="E36" s="3223"/>
      <c r="F36" s="3223"/>
      <c r="G36" s="1671" t="str">
        <f>IF(B35="场地未平整","估价结果处理","")</f>
        <v/>
      </c>
      <c r="H36" s="3224"/>
      <c r="I36" s="3224"/>
      <c r="J36" s="1678"/>
      <c r="K36" s="1759"/>
      <c r="L36" s="1707"/>
      <c r="M36" s="1707"/>
      <c r="N36" s="1678"/>
      <c r="O36" s="1679"/>
      <c r="P36" s="1678"/>
      <c r="Q36" s="1678"/>
      <c r="R36" s="1678"/>
      <c r="S36" s="1678"/>
      <c r="T36" s="1678"/>
      <c r="U36" s="1678"/>
    </row>
    <row r="37" spans="1:21" ht="28.5">
      <c r="A37" s="3212"/>
      <c r="B37" s="3242"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2"/>
      <c r="B38" s="3243"/>
      <c r="C38" s="1653" t="s">
        <v>850</v>
      </c>
      <c r="D38" s="1775">
        <f>ROUNDDOWN(MIN(('数据-取费表'!$B$2-D37)/365,D34),1)</f>
        <v>119.3</v>
      </c>
      <c r="E38" s="1711" t="s">
        <v>851</v>
      </c>
      <c r="F38" s="1678"/>
      <c r="G38" s="1678"/>
      <c r="H38" s="1678"/>
      <c r="I38" s="1691"/>
      <c r="J38" s="1678"/>
      <c r="K38" s="1759"/>
      <c r="L38" s="1678"/>
      <c r="M38" s="1678"/>
      <c r="N38" s="1678"/>
      <c r="O38" s="1678"/>
      <c r="P38" s="1678"/>
      <c r="Q38" s="1678"/>
      <c r="R38" s="1678"/>
      <c r="S38" s="1678"/>
      <c r="T38" s="1678"/>
      <c r="U38" s="1678"/>
    </row>
    <row r="39" spans="1:21">
      <c r="A39" s="3213"/>
      <c r="B39" s="324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2998</v>
      </c>
      <c r="C40" s="1674" t="s">
        <v>2999</v>
      </c>
      <c r="D40" s="1674" t="s">
        <v>3000</v>
      </c>
      <c r="E40" s="1674" t="s">
        <v>3001</v>
      </c>
      <c r="F40" s="1674" t="s">
        <v>3001</v>
      </c>
      <c r="G40" s="1674" t="s">
        <v>3002</v>
      </c>
      <c r="H40" s="1674" t="s">
        <v>3003</v>
      </c>
      <c r="I40" s="1691"/>
      <c r="J40" s="1678"/>
      <c r="K40" s="1714">
        <f>COUNTIF(B40:H40,"——")</f>
        <v>0</v>
      </c>
      <c r="L40" s="1683" t="s">
        <v>1978</v>
      </c>
      <c r="M40" s="1680" t="s">
        <v>1979</v>
      </c>
      <c r="N40" s="1680" t="s">
        <v>1980</v>
      </c>
      <c r="O40" s="1680" t="s">
        <v>1981</v>
      </c>
      <c r="P40" s="1680" t="s">
        <v>1982</v>
      </c>
      <c r="Q40" s="1680" t="s">
        <v>1983</v>
      </c>
      <c r="R40" s="1680" t="s">
        <v>1984</v>
      </c>
      <c r="S40" s="3225" t="s">
        <v>1985</v>
      </c>
      <c r="T40" s="1715" t="str">
        <f>NUMBERSTRING(7-K40,1)&amp;"通"</f>
        <v>七通</v>
      </c>
      <c r="U40" s="1678"/>
    </row>
    <row r="41" spans="1:21">
      <c r="A41" s="1647"/>
      <c r="B41" s="3217" t="s">
        <v>1721</v>
      </c>
      <c r="C41" s="3217"/>
      <c r="D41" s="3217"/>
      <c r="E41" s="3217"/>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通路、通电、通讯、通上水、通上水</v>
      </c>
      <c r="Q41" s="1718" t="str">
        <f>B40&amp;"、"&amp;C40&amp;"、"&amp;D40&amp;"、"&amp;E40&amp;"、"&amp;F40&amp;"、"&amp;G40</f>
        <v>通路、通电、通讯、通上水、通上水、通热</v>
      </c>
      <c r="R41" s="1718" t="str">
        <f>B40&amp;"、"&amp;C40&amp;"、"&amp;D40&amp;"、"&amp;E40&amp;"、"&amp;F40&amp;"、"&amp;G40&amp;"、"&amp;H40</f>
        <v>通路、通电、通讯、通上水、通上水、通热、燃气</v>
      </c>
      <c r="S41" s="3225"/>
      <c r="T41" s="1717" t="str">
        <f>IF(T40="一通",L41,IF(T40="二通",M41,IF(T40="三通",N41,IF(T40="四通",O41,IF(T40="五通",P41,IF(T40="六通",Q41,R41))))))</f>
        <v>通路、通电、通讯、通上水、通上水、通热、燃气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103677.9</v>
      </c>
      <c r="B3" s="22">
        <f>IF(C3="否",G5-AT5,G5)</f>
        <v>129597.37</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129597.37</v>
      </c>
      <c r="H5" s="27">
        <f t="shared" ref="H5:AT5" si="0">SUM(H13:H641)</f>
        <v>128228.57789</v>
      </c>
      <c r="I5" s="27">
        <f t="shared" si="0"/>
        <v>115268.83789</v>
      </c>
      <c r="J5" s="27">
        <f t="shared" si="0"/>
        <v>0</v>
      </c>
      <c r="K5" s="27">
        <f t="shared" si="0"/>
        <v>12959.74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1368.7921099999999</v>
      </c>
      <c r="AD5" s="27">
        <f t="shared" si="0"/>
        <v>980</v>
      </c>
      <c r="AE5" s="27">
        <f t="shared" si="0"/>
        <v>0</v>
      </c>
      <c r="AF5" s="27">
        <f t="shared" si="0"/>
        <v>0</v>
      </c>
      <c r="AG5" s="27">
        <f t="shared" si="0"/>
        <v>0</v>
      </c>
      <c r="AH5" s="27">
        <f t="shared" si="0"/>
        <v>388.79210999999998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129597.37</v>
      </c>
      <c r="BA5" s="29">
        <f t="shared" si="1"/>
        <v>128228.57789</v>
      </c>
      <c r="BB5" s="29">
        <f t="shared" si="1"/>
        <v>115268.83789</v>
      </c>
      <c r="BC5" s="29">
        <f t="shared" si="1"/>
        <v>12959.74</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1368.7921099999999</v>
      </c>
      <c r="BM5" s="29">
        <f t="shared" si="1"/>
        <v>980</v>
      </c>
      <c r="BN5" s="29">
        <f t="shared" si="1"/>
        <v>0</v>
      </c>
      <c r="BO5" s="29">
        <f t="shared" si="1"/>
        <v>388.79210999999998</v>
      </c>
      <c r="BP5" s="29">
        <f t="shared" si="1"/>
        <v>0</v>
      </c>
      <c r="BQ5" s="29">
        <f t="shared" si="1"/>
        <v>0</v>
      </c>
      <c r="BR5" s="29">
        <f t="shared" si="1"/>
        <v>0</v>
      </c>
      <c r="BS5" s="29">
        <f t="shared" si="1"/>
        <v>0</v>
      </c>
      <c r="BT5" s="30">
        <f t="shared" si="1"/>
        <v>0</v>
      </c>
    </row>
    <row r="6" spans="1:72" s="37" customFormat="1" ht="12.75">
      <c r="A6" s="26" t="s">
        <v>169</v>
      </c>
      <c r="B6" s="31"/>
      <c r="C6" s="31"/>
      <c r="D6" s="32"/>
      <c r="E6" s="27">
        <f>H6+AC6+AT6</f>
        <v>103677.89000000001</v>
      </c>
      <c r="F6" s="27" t="s">
        <v>1</v>
      </c>
      <c r="G6" s="27" t="s">
        <v>2</v>
      </c>
      <c r="H6" s="33">
        <f>SUMIF(I$12:AB$12,"总值",I6:AB6)</f>
        <v>102582.86000000002</v>
      </c>
      <c r="I6" s="27">
        <f t="shared" ref="I6:AB6" si="2">ROUND($A$3*I5/$B$3,2)</f>
        <v>92215.07</v>
      </c>
      <c r="J6" s="27">
        <f t="shared" si="2"/>
        <v>0</v>
      </c>
      <c r="K6" s="27">
        <f t="shared" si="2"/>
        <v>10367.790000000001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1095.03</v>
      </c>
      <c r="AD6" s="27">
        <f t="shared" ref="AD6:AS6" si="3">ROUND($A$3*AD5/$B$3,2)</f>
        <v>784</v>
      </c>
      <c r="AE6" s="27">
        <f t="shared" si="3"/>
        <v>0</v>
      </c>
      <c r="AF6" s="27">
        <f t="shared" si="3"/>
        <v>0</v>
      </c>
      <c r="AG6" s="27">
        <f t="shared" si="3"/>
        <v>0</v>
      </c>
      <c r="AH6" s="27">
        <f t="shared" si="3"/>
        <v>311.02999999999997</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103677.9</v>
      </c>
      <c r="AZ6" s="27" t="s">
        <v>3</v>
      </c>
      <c r="BA6" s="27">
        <f>ROUND($AY$6*BA5/$AZ$5,2)</f>
        <v>102582.87</v>
      </c>
      <c r="BB6" s="27">
        <f>ROUND($AY$6*BB5/$AZ$5,2)</f>
        <v>92215.07</v>
      </c>
      <c r="BC6" s="27">
        <f t="shared" ref="BC6:BH6" si="4">ROUND($AY$6*BC5/$AZ$5,2)</f>
        <v>10367.790000000001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1095.03</v>
      </c>
      <c r="BM6" s="27">
        <f t="shared" si="5"/>
        <v>784</v>
      </c>
      <c r="BN6" s="27">
        <f t="shared" si="5"/>
        <v>0</v>
      </c>
      <c r="BO6" s="27">
        <f t="shared" si="5"/>
        <v>311.02999999999997</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3004</v>
      </c>
      <c r="J9" s="51"/>
      <c r="K9" s="2971" t="s">
        <v>3004</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2992</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3005</v>
      </c>
      <c r="J11" s="71"/>
      <c r="K11" s="2972" t="s">
        <v>3006</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独立商业</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v>129597.37</v>
      </c>
      <c r="B13" s="2966"/>
      <c r="C13" s="2966"/>
      <c r="D13" s="2967" t="s">
        <v>1678</v>
      </c>
      <c r="E13" s="27">
        <f t="shared" ref="E13:E20" si="6">IF($C$3="是",ROUND($A$3*G13/$B$3,2),ROUND($A$3*(G13-AT13)/$B$3,2))</f>
        <v>103677.9</v>
      </c>
      <c r="F13" s="81"/>
      <c r="G13" s="82">
        <f t="shared" ref="G13:G20" si="7">H13+AC13+AT13</f>
        <v>129597.37</v>
      </c>
      <c r="H13" s="33">
        <f t="shared" ref="H13:H20" si="8">SUMIF(I$12:AB$12,"总值",I13:AB13)</f>
        <v>128228.57789</v>
      </c>
      <c r="I13" s="2970">
        <f>A13-K13-AD13-AH13</f>
        <v>115268.83789</v>
      </c>
      <c r="J13" s="2970"/>
      <c r="K13" s="2970">
        <f>ROUND(A13*10%,2)</f>
        <v>12959.74</v>
      </c>
      <c r="L13" s="2970"/>
      <c r="M13" s="2970"/>
      <c r="N13" s="83"/>
      <c r="O13" s="83"/>
      <c r="P13" s="83"/>
      <c r="Q13" s="83"/>
      <c r="R13" s="83"/>
      <c r="S13" s="83"/>
      <c r="T13" s="83"/>
      <c r="U13" s="83"/>
      <c r="V13" s="83"/>
      <c r="W13" s="83"/>
      <c r="X13" s="83"/>
      <c r="Y13" s="83"/>
      <c r="Z13" s="83"/>
      <c r="AA13" s="83"/>
      <c r="AB13" s="83"/>
      <c r="AC13" s="27">
        <f t="shared" ref="AC13:AC20" si="9">SUMIF(AD$12:AS$12,"总值",AD13:AS13)</f>
        <v>1368.7921099999999</v>
      </c>
      <c r="AD13" s="2974">
        <f>100+60+820</f>
        <v>980</v>
      </c>
      <c r="AE13" s="2974"/>
      <c r="AF13" s="2974"/>
      <c r="AG13" s="2974"/>
      <c r="AH13" s="2974">
        <f>A13*0.003</f>
        <v>388.79210999999998</v>
      </c>
      <c r="AI13" s="2974"/>
      <c r="AJ13" s="2974"/>
      <c r="AK13" s="2974"/>
      <c r="AL13" s="2974"/>
      <c r="AM13" s="2974"/>
      <c r="AN13" s="2974"/>
      <c r="AO13" s="2974"/>
      <c r="AP13" s="2974"/>
      <c r="AQ13" s="2974"/>
      <c r="AR13" s="2974"/>
      <c r="AS13" s="2974"/>
      <c r="AT13" s="2975"/>
      <c r="AU13" s="2976"/>
      <c r="AV13" s="17">
        <f t="shared" ref="AV13:AX20" si="10">A13</f>
        <v>129597.37</v>
      </c>
      <c r="AW13" s="17">
        <f t="shared" si="10"/>
        <v>0</v>
      </c>
      <c r="AX13" s="17">
        <f t="shared" si="10"/>
        <v>0</v>
      </c>
      <c r="AY13" s="996">
        <f t="shared" ref="AY13:AY20" si="11">ROUND($AY$6*AZ13/$AZ$5,2)</f>
        <v>103677.9</v>
      </c>
      <c r="AZ13" s="27">
        <f t="shared" ref="AZ13:AZ20" si="12">BA13+BL13</f>
        <v>129597.37</v>
      </c>
      <c r="BA13" s="27">
        <f t="shared" ref="BA13:BA20" si="13">SUM(BB13:BK13)</f>
        <v>128228.57789</v>
      </c>
      <c r="BB13" s="27">
        <f t="shared" ref="BB13:BB20" si="14">IF($D13="是",I13-J13,0)</f>
        <v>115268.83789</v>
      </c>
      <c r="BC13" s="27">
        <f t="shared" ref="BC13:BC20" si="15">IF($D13="是",K13-L13,0)</f>
        <v>12959.74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1368.7921099999999</v>
      </c>
      <c r="BM13" s="27">
        <f t="shared" ref="BM13:BM20" si="25">IF($D13="是",AD13-AE13,0)</f>
        <v>980</v>
      </c>
      <c r="BN13" s="27">
        <f t="shared" ref="BN13:BN20" si="26">IF($D13="是",AF13-AG13,0)</f>
        <v>0</v>
      </c>
      <c r="BO13" s="27">
        <f t="shared" ref="BO13:BO20" si="27">IF($D13="是",AH13-AI13,0)</f>
        <v>388.79210999999998</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G23" sqref="G2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4" t="s">
        <v>203</v>
      </c>
      <c r="B2" s="3264"/>
      <c r="C2" s="3264"/>
      <c r="D2" s="1960" t="s">
        <v>204</v>
      </c>
      <c r="E2" s="106" t="s">
        <v>205</v>
      </c>
      <c r="F2" s="1969"/>
      <c r="G2" s="1194"/>
      <c r="H2" s="1195"/>
      <c r="I2" s="1196" t="s">
        <v>857</v>
      </c>
      <c r="J2" s="1969"/>
      <c r="K2" s="1969"/>
      <c r="L2" s="1969"/>
    </row>
    <row r="3" spans="1:16" ht="15.75" thickBot="1">
      <c r="A3" s="3265" t="s">
        <v>206</v>
      </c>
      <c r="B3" s="3265"/>
      <c r="C3" s="3265"/>
      <c r="D3" s="107">
        <f>'数据-基础表'!AY6</f>
        <v>103677.9</v>
      </c>
      <c r="E3" s="107">
        <f>'数据-基础表'!AZ5</f>
        <v>129597.37</v>
      </c>
      <c r="F3" s="1969"/>
      <c r="G3" s="280" t="s">
        <v>858</v>
      </c>
      <c r="H3" s="275" t="s">
        <v>859</v>
      </c>
      <c r="I3" s="1961">
        <f>ROUND('数据-基础表'!B3/'数据-基础表'!A3,2)</f>
        <v>1.25</v>
      </c>
      <c r="J3" s="1969"/>
      <c r="K3" s="1969"/>
      <c r="L3" s="1969"/>
    </row>
    <row r="4" spans="1:16" ht="15">
      <c r="A4" s="3266"/>
      <c r="B4" s="3267"/>
      <c r="C4" s="3268"/>
      <c r="D4" s="108" t="s">
        <v>204</v>
      </c>
      <c r="E4" s="109" t="s">
        <v>205</v>
      </c>
      <c r="F4" s="1969"/>
      <c r="G4" s="1197"/>
      <c r="H4" s="275" t="s">
        <v>860</v>
      </c>
      <c r="I4" s="1961">
        <f>ROUND(SUMIF('数据-基础表'!I9:AS9,"地上",'数据-基础表'!I5:AS5)/'数据-基础表'!A3,2)</f>
        <v>1.25</v>
      </c>
      <c r="J4" s="1969"/>
      <c r="K4" s="1969"/>
      <c r="L4" s="1969"/>
    </row>
    <row r="5" spans="1:16">
      <c r="A5" s="110" t="s">
        <v>207</v>
      </c>
      <c r="B5" s="3269" t="s">
        <v>230</v>
      </c>
      <c r="C5" s="3269"/>
      <c r="D5" s="111">
        <f>ROUND($D$3*E5/$E$3,2)</f>
        <v>92215.07</v>
      </c>
      <c r="E5" s="112">
        <f>SUMIF('数据-基础表'!$11:$11,"住宅",'数据-基础表'!$5:$5)</f>
        <v>115268.83789</v>
      </c>
      <c r="F5" s="1969"/>
      <c r="G5" s="280" t="s">
        <v>861</v>
      </c>
      <c r="H5" s="275" t="s">
        <v>859</v>
      </c>
      <c r="I5" s="1961">
        <f>ROUND(E31/D31,2)</f>
        <v>1.25</v>
      </c>
      <c r="J5" s="1969"/>
      <c r="K5" s="1969"/>
      <c r="L5" s="1969"/>
    </row>
    <row r="6" spans="1:16" ht="15" thickBot="1">
      <c r="A6" s="113"/>
      <c r="B6" s="3269" t="s">
        <v>208</v>
      </c>
      <c r="C6" s="3269"/>
      <c r="D6" s="111">
        <f>ROUND($D$3*E6/$E$3,2)</f>
        <v>11462.83</v>
      </c>
      <c r="E6" s="112">
        <f>E3-E5</f>
        <v>14328.53211</v>
      </c>
      <c r="F6" s="1969"/>
      <c r="G6" s="1197"/>
      <c r="H6" s="275" t="s">
        <v>860</v>
      </c>
      <c r="I6" s="1961">
        <f>ROUND(F31/D31,2)</f>
        <v>1.25</v>
      </c>
      <c r="J6" s="1969"/>
      <c r="K6" s="1969"/>
      <c r="L6" s="1969"/>
    </row>
    <row r="7" spans="1:16" ht="15">
      <c r="A7" s="3261"/>
      <c r="B7" s="3262"/>
      <c r="C7" s="3263"/>
      <c r="D7" s="108" t="s">
        <v>204</v>
      </c>
      <c r="E7" s="114" t="s">
        <v>231</v>
      </c>
      <c r="F7" s="1969"/>
      <c r="G7" s="1152" t="s">
        <v>1645</v>
      </c>
      <c r="H7" s="1153"/>
      <c r="I7" s="1831"/>
      <c r="J7" s="1969"/>
      <c r="K7" s="1969"/>
      <c r="L7" s="1969"/>
    </row>
    <row r="8" spans="1:16">
      <c r="A8" s="110" t="s">
        <v>209</v>
      </c>
      <c r="B8" s="115" t="s">
        <v>210</v>
      </c>
      <c r="C8" s="111" t="s">
        <v>211</v>
      </c>
      <c r="D8" s="111">
        <f t="shared" ref="D8:D15" si="0">ROUND($D$3*E8/$E$3,2)</f>
        <v>102582.87</v>
      </c>
      <c r="E8" s="116">
        <f>SUMIF('数据-基础表'!BB10:BK10,"地上",'数据-基础表'!BB5:BK5)</f>
        <v>128228.57789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102582.87</v>
      </c>
      <c r="E16" s="120">
        <f>SUM(E8:E15)</f>
        <v>128228.57789</v>
      </c>
      <c r="F16" s="1969"/>
      <c r="G16" s="1971"/>
      <c r="H16" s="968" t="s">
        <v>219</v>
      </c>
      <c r="I16" s="969"/>
      <c r="J16" s="1969"/>
      <c r="K16" s="3255" t="s">
        <v>2566</v>
      </c>
      <c r="L16" s="3256"/>
      <c r="M16" s="3256"/>
      <c r="N16" s="3256"/>
      <c r="O16" s="3256"/>
      <c r="P16" s="3257"/>
    </row>
    <row r="17" spans="1:19" ht="15">
      <c r="A17" s="121" t="s">
        <v>216</v>
      </c>
      <c r="B17" s="122" t="s">
        <v>217</v>
      </c>
      <c r="C17" s="2283" t="s">
        <v>2313</v>
      </c>
      <c r="D17" s="108" t="s">
        <v>204</v>
      </c>
      <c r="E17" s="124" t="s">
        <v>205</v>
      </c>
      <c r="F17" s="125"/>
      <c r="G17" s="1362"/>
      <c r="H17" s="970" t="s">
        <v>218</v>
      </c>
      <c r="I17" s="971" t="s">
        <v>2312</v>
      </c>
      <c r="J17" s="1969"/>
      <c r="K17" s="3258" t="s">
        <v>2567</v>
      </c>
      <c r="L17" s="3259"/>
      <c r="M17" s="3260"/>
      <c r="N17" s="3258" t="s">
        <v>2568</v>
      </c>
      <c r="O17" s="3259"/>
      <c r="P17" s="3260"/>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3007</v>
      </c>
      <c r="D19" s="111">
        <f t="shared" ref="D19:D26" si="1">ROUND($D$3*E19/$E$3,2)</f>
        <v>92215.07</v>
      </c>
      <c r="E19" s="134">
        <f t="shared" ref="E19:E26" si="2">SUM(F19:G19)</f>
        <v>115268.83789</v>
      </c>
      <c r="F19" s="135">
        <f>'数据-基础表'!I5</f>
        <v>115268.83789</v>
      </c>
      <c r="G19" s="1364"/>
      <c r="H19" s="974">
        <f>ROUND($D$3*I19/$E$3,2)</f>
        <v>1095.03</v>
      </c>
      <c r="I19" s="116">
        <f>IF($I$17="自定义",P19,M19)</f>
        <v>1368.79</v>
      </c>
      <c r="J19" s="1969"/>
      <c r="K19" s="2572">
        <f t="shared" ref="K19:K26" si="3">ROUND(E$28*E19/E$27,2)</f>
        <v>0</v>
      </c>
      <c r="L19" s="275">
        <f t="shared" ref="L19:L26" si="4">ROUND(IF(COUNTIF(C19,"*住宅*")&gt;0,E$29*E19/E$32,0),2)</f>
        <v>1368.79</v>
      </c>
      <c r="M19" s="2573">
        <f>K19+L19</f>
        <v>1368.79</v>
      </c>
      <c r="N19" s="2574"/>
      <c r="O19" s="2575"/>
      <c r="P19" s="2576">
        <f>N19+O19</f>
        <v>0</v>
      </c>
      <c r="R19" s="275">
        <f t="shared" ref="R19:S26" si="5">D19+H19</f>
        <v>93310.1</v>
      </c>
      <c r="S19" s="2286">
        <f t="shared" si="5"/>
        <v>116637.62788999999</v>
      </c>
    </row>
    <row r="20" spans="1:19">
      <c r="A20" s="138"/>
      <c r="B20" s="115" t="s">
        <v>226</v>
      </c>
      <c r="C20" s="2977" t="s">
        <v>3008</v>
      </c>
      <c r="D20" s="111">
        <f t="shared" si="1"/>
        <v>10367.790000000001</v>
      </c>
      <c r="E20" s="134">
        <f t="shared" si="2"/>
        <v>12959.74</v>
      </c>
      <c r="F20" s="135">
        <f>'数据-基础表'!K5</f>
        <v>12959.74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10367.790000000001</v>
      </c>
      <c r="S20" s="2286">
        <f t="shared" si="5"/>
        <v>12959.74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102582.86000000002</v>
      </c>
      <c r="E27" s="143">
        <f>IF(SUM(E19:E26)='数据-基础表'!BA5,SUM(E19:E26),IF(F27="地上面积有误","面积有误","地下面积有误"))</f>
        <v>128228.57789</v>
      </c>
      <c r="F27" s="134">
        <f>IF(SUM(F19:F26)=E8,SUM(F19:F26),"地上面积有误")</f>
        <v>128228.57789</v>
      </c>
      <c r="G27" s="112">
        <f>SUM(G19:G26)</f>
        <v>0</v>
      </c>
      <c r="H27" s="975">
        <f>SUM(H19:H26)</f>
        <v>1095.03</v>
      </c>
      <c r="I27" s="976">
        <f>SUM(I19:I26)</f>
        <v>1368.79</v>
      </c>
      <c r="J27" s="1969"/>
      <c r="K27" s="2581">
        <f>SUM(K19:K26)</f>
        <v>0</v>
      </c>
      <c r="L27" s="2582">
        <f>SUM(L19:L26)</f>
        <v>1368.79</v>
      </c>
      <c r="M27" s="2583">
        <f>SUM(M19:M26)</f>
        <v>1368.79</v>
      </c>
      <c r="N27" s="2581">
        <f t="shared" ref="N27:O27" si="10">SUM(N19:N26)</f>
        <v>0</v>
      </c>
      <c r="O27" s="2582">
        <f t="shared" si="10"/>
        <v>0</v>
      </c>
      <c r="P27" s="2584">
        <f>SUM(P19:P26)</f>
        <v>0</v>
      </c>
      <c r="R27" s="2290" t="str">
        <f>IF(SUM(R19:R26)=$D$3,SUM(R19:R26),SUM(R19:R26)&amp;"误差"&amp;ROUND(SUM(R19:R26)-$D$3,2))</f>
        <v>103677.89误差-0.01</v>
      </c>
      <c r="S27" s="275" t="str">
        <f>IF(SUM(S19:S26)=$E$3,SUM(S19:S26),SUM(S19:S26)&amp;"误差"&amp;ROUND(SUM(S19:S26)-E3,2))</f>
        <v>129597.36789误差0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1095.03</v>
      </c>
      <c r="E29" s="134">
        <f>SUM(F29:G29)</f>
        <v>1368.7921099999999</v>
      </c>
      <c r="F29" s="144">
        <f>'数据-基础表'!BM5+'数据-基础表'!BO5</f>
        <v>1368.7921099999999</v>
      </c>
      <c r="G29" s="146">
        <f>'数据-基础表'!BN5+'数据-基础表'!BP5</f>
        <v>0</v>
      </c>
      <c r="H29" s="1969"/>
      <c r="I29" s="1969"/>
      <c r="J29" s="1969"/>
      <c r="K29" s="1969"/>
      <c r="L29" s="1969"/>
    </row>
    <row r="30" spans="1:19">
      <c r="A30" s="138"/>
      <c r="B30" s="111"/>
      <c r="C30" s="147" t="s">
        <v>215</v>
      </c>
      <c r="D30" s="134">
        <f>SUM(D28:D29)</f>
        <v>1095.03</v>
      </c>
      <c r="E30" s="134">
        <f>SUM(E28:E29)</f>
        <v>1368.7921099999999</v>
      </c>
      <c r="F30" s="134">
        <f>SUM(F28:F29)</f>
        <v>1368.7921099999999</v>
      </c>
      <c r="G30" s="112">
        <f>SUM(G28:G29)</f>
        <v>0</v>
      </c>
      <c r="H30" s="1969"/>
      <c r="I30" s="1969"/>
      <c r="J30" s="1969"/>
      <c r="K30" s="1969"/>
      <c r="L30" s="1969"/>
    </row>
    <row r="31" spans="1:19" ht="32.25" customHeight="1" thickBot="1">
      <c r="A31" s="1366"/>
      <c r="B31" s="1367" t="s">
        <v>229</v>
      </c>
      <c r="C31" s="2315" t="s">
        <v>2322</v>
      </c>
      <c r="D31" s="1368">
        <f>D27+D30</f>
        <v>103677.89000000001</v>
      </c>
      <c r="E31" s="1368">
        <f>E27+E30</f>
        <v>129597.37</v>
      </c>
      <c r="F31" s="1369">
        <f>F27+F30</f>
        <v>129597.37</v>
      </c>
      <c r="G31" s="1370">
        <f>G27+G30</f>
        <v>0</v>
      </c>
      <c r="H31" s="1969"/>
      <c r="I31" s="1969"/>
      <c r="J31" s="1969"/>
      <c r="K31" s="1969"/>
      <c r="L31" s="1969"/>
    </row>
    <row r="32" spans="1:19">
      <c r="A32" s="1969"/>
      <c r="B32" s="2327" t="s">
        <v>2321</v>
      </c>
      <c r="C32" s="2611"/>
      <c r="D32" s="1197"/>
      <c r="E32" s="1197">
        <f>SUMIF(C19:C26,"*住宅*",E19:E26)</f>
        <v>115268.83789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69013</v>
      </c>
      <c r="F6" s="174">
        <f>SUMIF(项目基本情况!D$15:I$15,C6,项目基本情况!D$19:I$19)</f>
        <v>69.73</v>
      </c>
      <c r="G6" s="175">
        <f>IF(ISERROR(ROUND(POWER(1+H6,D6-F6)*(POWER(1+H6,F6)-1)/(POWER(1+H6,D6)-1),3)),0,ROUND(POWER(1+H6,D6-F6)*(POWER(1+H6,F6)-1)/(POWER(1+H6,D6)-1),3))</f>
        <v>0.999</v>
      </c>
      <c r="H6" s="2978">
        <v>0.04</v>
      </c>
      <c r="I6" s="2978">
        <v>4.4999999999999998E-2</v>
      </c>
      <c r="J6" s="176"/>
      <c r="K6" s="179">
        <f>SUMIF('数据-汇总表'!C$19:C$33,'数据-取费表'!A6,'数据-汇总表'!E$19:E$33)</f>
        <v>115268.83789</v>
      </c>
      <c r="L6" s="2979">
        <v>2000</v>
      </c>
      <c r="M6" s="177">
        <f t="shared" ref="M6:M14" si="0">ROUND(K6*L6/10000,0)</f>
        <v>23054</v>
      </c>
      <c r="N6" s="2980">
        <v>0</v>
      </c>
      <c r="O6" s="177">
        <f>IF($N$5="成新度","——",ROUND(M6*N6,0))</f>
        <v>0</v>
      </c>
      <c r="P6" s="178">
        <f>IF($N$5="成新度","——",M6-O6)</f>
        <v>23054</v>
      </c>
      <c r="Q6" s="2981">
        <v>0.1</v>
      </c>
      <c r="R6" s="179">
        <f>SUMIF('数据-汇总表'!C$19:C$33,A6,'数据-汇总表'!R$19:R$33)</f>
        <v>93310.1</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0.93500000000000005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2992</v>
      </c>
      <c r="D7" s="2293">
        <f>SUMIF(项目基本情况!D$15:I$15,C7,项目基本情况!D$18:I$18)</f>
        <v>40</v>
      </c>
      <c r="E7" s="2294">
        <f>IF(B7="","",SUMIF(项目基本情况!D$15:I$15,C7,项目基本情况!D$17:I$17))</f>
        <v>58055</v>
      </c>
      <c r="F7" s="174">
        <f>SUMIF(项目基本情况!D$15:I$15,C7,项目基本情况!D$19:I$19)</f>
        <v>39.71</v>
      </c>
      <c r="G7" s="175">
        <f t="shared" ref="G7:G11" si="2">IF(ISERROR(ROUND(POWER(1+H7,D7-F7)*(POWER(1+H7,F7)-1)/(POWER(1+H7,D7)-1),3)),0,ROUND(POWER(1+H7,D7-F7)*(POWER(1+H7,F7)-1)/(POWER(1+H7,D7)-1),3))</f>
        <v>0.998</v>
      </c>
      <c r="H7" s="2978">
        <v>0.05</v>
      </c>
      <c r="I7" s="2978">
        <v>5.5E-2</v>
      </c>
      <c r="J7" s="176"/>
      <c r="K7" s="179">
        <f>SUMIF('数据-汇总表'!C$19:C$33,'数据-取费表'!A7,'数据-汇总表'!E$19:E$33)</f>
        <v>12959.74</v>
      </c>
      <c r="L7" s="2979">
        <v>1500</v>
      </c>
      <c r="M7" s="177">
        <f t="shared" si="0"/>
        <v>1944</v>
      </c>
      <c r="N7" s="2980">
        <f>N6</f>
        <v>0</v>
      </c>
      <c r="O7" s="177">
        <f t="shared" ref="O7:O14" si="3">IF($N$5="成新度","——",ROUND(M7*N7,0))</f>
        <v>0</v>
      </c>
      <c r="P7" s="178">
        <f t="shared" ref="P7:P14" si="4">IF($N$5="成新度","——",M7-O7)</f>
        <v>1944</v>
      </c>
      <c r="Q7" s="2981">
        <v>0.15</v>
      </c>
      <c r="R7" s="179">
        <f>SUMIF('数据-汇总表'!C$19:C$33,A7,'数据-汇总表'!R$19:R$33)</f>
        <v>10367.790000000001</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0.85599999999999998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1368.7921099999999</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129597.37</v>
      </c>
      <c r="L16" s="206">
        <f>ROUND(M16*10000/SUM(K6:K14),0)</f>
        <v>1949</v>
      </c>
      <c r="M16" s="206">
        <f>SUM(M6:M14)</f>
        <v>24998</v>
      </c>
      <c r="N16" s="207">
        <f>ROUND(SUMPRODUCT(M6:M14,N6:N14)/M16,3)</f>
        <v>0</v>
      </c>
      <c r="O16" s="206">
        <f>SUM(O6:O14)</f>
        <v>0</v>
      </c>
      <c r="P16" s="206">
        <f>SUM(P6:P14)</f>
        <v>24998</v>
      </c>
      <c r="Q16" s="208">
        <f>ROUND(SUMPRODUCT(Q6:Q13,K6:K13)/SUMPRODUCT((Q6:Q13&gt;0)*(K6:K13)),2)</f>
        <v>0.11</v>
      </c>
      <c r="R16" s="2296">
        <f>SUM(R6:R13)</f>
        <v>103677.89000000001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0.92700000000000005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160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10</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0" t="s">
        <v>1663</v>
      </c>
      <c r="B1" s="3271"/>
      <c r="C1" s="3271"/>
      <c r="D1" s="3271"/>
      <c r="E1" s="3271"/>
      <c r="F1" s="3271"/>
      <c r="G1" s="3271"/>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27">
      <c r="A3" s="1223" t="s">
        <v>1666</v>
      </c>
      <c r="B3" s="1224" t="s">
        <v>1653</v>
      </c>
      <c r="C3" s="3481" t="s">
        <v>3009</v>
      </c>
      <c r="D3" s="1994"/>
      <c r="E3" s="1225" t="s">
        <v>1666</v>
      </c>
      <c r="F3" s="1226" t="s">
        <v>1654</v>
      </c>
      <c r="G3" s="3036"/>
      <c r="H3" s="1993"/>
      <c r="I3" s="1993"/>
      <c r="J3" s="1993"/>
      <c r="K3" s="1993"/>
      <c r="L3" s="1993"/>
      <c r="M3" s="1993"/>
      <c r="N3" s="1993"/>
      <c r="O3" s="1993"/>
      <c r="P3" s="1993"/>
      <c r="Q3" s="1993"/>
      <c r="R3" s="1993"/>
    </row>
    <row r="4" spans="1:18" ht="14.25">
      <c r="A4" s="1225"/>
      <c r="B4" s="1227" t="s">
        <v>1667</v>
      </c>
      <c r="C4" s="3482" t="s">
        <v>3010</v>
      </c>
      <c r="D4" s="1994"/>
      <c r="E4" s="1228"/>
      <c r="F4" s="1229" t="s">
        <v>1668</v>
      </c>
      <c r="G4" s="3034"/>
      <c r="H4" s="1993"/>
      <c r="I4" s="1993"/>
      <c r="J4" s="1993"/>
      <c r="K4" s="1993"/>
      <c r="L4" s="1993"/>
      <c r="M4" s="1993"/>
      <c r="N4" s="1993"/>
      <c r="O4" s="1993"/>
      <c r="P4" s="1993"/>
      <c r="Q4" s="1993"/>
      <c r="R4" s="1993"/>
    </row>
    <row r="5" spans="1:18" ht="14.25">
      <c r="A5" s="1225"/>
      <c r="B5" s="1227" t="s">
        <v>1669</v>
      </c>
      <c r="C5" s="3033"/>
      <c r="D5" s="1994"/>
      <c r="E5" s="1228"/>
      <c r="F5" s="1227" t="s">
        <v>2546</v>
      </c>
      <c r="G5" s="3034"/>
      <c r="H5" s="1993"/>
      <c r="I5" s="1993"/>
      <c r="J5" s="1993"/>
      <c r="K5" s="1993"/>
      <c r="L5" s="1993"/>
      <c r="M5" s="1993"/>
      <c r="N5" s="1993"/>
      <c r="O5" s="1993"/>
      <c r="P5" s="1993"/>
      <c r="Q5" s="1993"/>
      <c r="R5" s="1993"/>
    </row>
    <row r="6" spans="1:18" ht="14.25">
      <c r="A6" s="1225"/>
      <c r="B6" s="1227" t="s">
        <v>1655</v>
      </c>
      <c r="C6" s="3483" t="s">
        <v>3010</v>
      </c>
      <c r="D6" s="1994"/>
      <c r="E6" s="1228"/>
      <c r="F6" s="1227" t="s">
        <v>2547</v>
      </c>
      <c r="G6" s="3034"/>
      <c r="H6" s="1993"/>
      <c r="I6" s="1993"/>
      <c r="J6" s="1993"/>
      <c r="K6" s="1993"/>
      <c r="L6" s="1993"/>
      <c r="M6" s="1993"/>
      <c r="N6" s="1993"/>
      <c r="O6" s="1993"/>
      <c r="P6" s="1993"/>
      <c r="Q6" s="1993"/>
      <c r="R6" s="1993"/>
    </row>
    <row r="7" spans="1:18" ht="15" thickBot="1">
      <c r="A7" s="1225"/>
      <c r="B7" s="1227" t="s">
        <v>2546</v>
      </c>
      <c r="C7" s="3483" t="s">
        <v>3010</v>
      </c>
      <c r="D7" s="1995"/>
      <c r="E7" s="1230"/>
      <c r="F7" s="1231" t="s">
        <v>1670</v>
      </c>
      <c r="G7" s="3037"/>
      <c r="H7" s="1993"/>
      <c r="I7" s="1993"/>
      <c r="J7" s="1993"/>
      <c r="K7" s="1993"/>
      <c r="L7" s="1993"/>
      <c r="M7" s="1993"/>
      <c r="N7" s="1993"/>
      <c r="O7" s="1993"/>
      <c r="P7" s="1993"/>
      <c r="Q7" s="1993"/>
      <c r="R7" s="1993"/>
    </row>
    <row r="8" spans="1:18">
      <c r="A8" s="1225"/>
      <c r="B8" s="1227" t="s">
        <v>2547</v>
      </c>
      <c r="C8" s="3483" t="s">
        <v>3011</v>
      </c>
      <c r="D8" s="1995"/>
      <c r="E8" s="1995"/>
      <c r="F8" s="1540"/>
      <c r="G8" s="1540"/>
      <c r="H8" s="1993"/>
      <c r="I8" s="1993"/>
      <c r="J8" s="1993"/>
      <c r="K8" s="1993"/>
      <c r="L8" s="1993"/>
      <c r="M8" s="1993"/>
      <c r="N8" s="1993"/>
      <c r="O8" s="1993"/>
      <c r="P8" s="1993"/>
      <c r="Q8" s="1993"/>
      <c r="R8" s="1993"/>
    </row>
    <row r="9" spans="1:18">
      <c r="A9" s="1225"/>
      <c r="B9" s="1227" t="s">
        <v>1656</v>
      </c>
      <c r="C9" s="3482" t="s">
        <v>3012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较差</v>
      </c>
      <c r="D15" s="1994"/>
      <c r="E15" s="2549" t="s">
        <v>1658</v>
      </c>
      <c r="F15" s="1238" t="s">
        <v>1673</v>
      </c>
      <c r="G15" s="1240">
        <f>G3</f>
        <v>0</v>
      </c>
    </row>
    <row r="16" spans="1:18" ht="40.5">
      <c r="A16" s="2553"/>
      <c r="B16" s="1241" t="s">
        <v>1667</v>
      </c>
      <c r="C16" s="1242" t="str">
        <f>C4</f>
        <v>较差</v>
      </c>
      <c r="D16" s="1994"/>
      <c r="E16" s="2550"/>
      <c r="F16" s="1243" t="s">
        <v>1668</v>
      </c>
      <c r="G16" s="1005">
        <f>G4</f>
        <v>0</v>
      </c>
    </row>
    <row r="17" spans="1:7" ht="40.5">
      <c r="A17" s="2553"/>
      <c r="B17" s="1241" t="s">
        <v>1669</v>
      </c>
      <c r="C17" s="1242">
        <f>C5</f>
        <v>0</v>
      </c>
      <c r="D17" s="1995"/>
      <c r="E17" s="2550"/>
      <c r="F17" s="1243" t="s">
        <v>1674</v>
      </c>
      <c r="G17" s="2750"/>
    </row>
    <row r="18" spans="1:7" ht="54">
      <c r="A18" s="2553"/>
      <c r="B18" s="1243" t="s">
        <v>1655</v>
      </c>
      <c r="C18" s="1005" t="str">
        <f>C6</f>
        <v>较差</v>
      </c>
      <c r="D18" s="1995"/>
      <c r="E18" s="2550"/>
      <c r="F18" s="1243" t="s">
        <v>1670</v>
      </c>
      <c r="G18" s="1005">
        <f>G7</f>
        <v>0</v>
      </c>
    </row>
    <row r="19" spans="1:7">
      <c r="A19" s="2553"/>
      <c r="B19" s="1243" t="s">
        <v>1659</v>
      </c>
      <c r="C19" s="3484" t="s">
        <v>3013</v>
      </c>
      <c r="D19" s="1994"/>
      <c r="E19" s="2550"/>
      <c r="F19" s="1227" t="s">
        <v>2546</v>
      </c>
      <c r="G19" s="1005">
        <f>G5</f>
        <v>0</v>
      </c>
    </row>
    <row r="20" spans="1:7" ht="40.5">
      <c r="A20" s="2553"/>
      <c r="B20" s="1243" t="s">
        <v>1660</v>
      </c>
      <c r="C20" s="1242" t="str">
        <f>C9</f>
        <v>一般</v>
      </c>
      <c r="D20" s="1995"/>
      <c r="E20" s="2550"/>
      <c r="F20" s="1227" t="s">
        <v>2547</v>
      </c>
      <c r="G20" s="1005">
        <f>G6</f>
        <v>0</v>
      </c>
    </row>
    <row r="21" spans="1:7" ht="27">
      <c r="A21" s="2553"/>
      <c r="B21" s="1227" t="s">
        <v>2546</v>
      </c>
      <c r="C21" s="1005" t="str">
        <f>C7</f>
        <v>较差</v>
      </c>
      <c r="D21" s="1994"/>
      <c r="E21" s="2550"/>
      <c r="F21" s="1243" t="s">
        <v>1661</v>
      </c>
      <c r="G21" s="3038"/>
    </row>
    <row r="22" spans="1:7" ht="27">
      <c r="A22" s="2553"/>
      <c r="B22" s="1227" t="s">
        <v>2547</v>
      </c>
      <c r="C22" s="1005" t="str">
        <f>C8</f>
        <v>七通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129597.37</v>
      </c>
      <c r="C1" s="2998"/>
      <c r="D1" s="2998"/>
      <c r="E1" s="2998"/>
      <c r="F1" s="2998"/>
    </row>
    <row r="2" spans="1:9" ht="16.5">
      <c r="A2" s="2997" t="s">
        <v>2845</v>
      </c>
      <c r="B2" s="2997">
        <f>SUM(C14:C23)</f>
        <v>103677.9</v>
      </c>
      <c r="C2" s="2998"/>
      <c r="D2" s="2998"/>
      <c r="E2" s="2998"/>
      <c r="F2" s="2998"/>
    </row>
    <row r="3" spans="1:9" ht="16.5">
      <c r="A3" s="2997" t="s">
        <v>2846</v>
      </c>
      <c r="B3" s="2999">
        <f>项目基本情况!D3</f>
        <v>43559</v>
      </c>
      <c r="C3" s="2998"/>
      <c r="D3" s="2998"/>
      <c r="E3" s="2998"/>
      <c r="F3" s="2998"/>
    </row>
    <row r="4" spans="1:9" ht="33">
      <c r="A4" s="2997" t="s">
        <v>2847</v>
      </c>
      <c r="B4" s="2997" t="s">
        <v>2848</v>
      </c>
      <c r="C4" s="2997" t="s">
        <v>2849</v>
      </c>
      <c r="D4" s="2997" t="s">
        <v>2850</v>
      </c>
      <c r="E4" s="2998"/>
      <c r="F4" s="2998"/>
    </row>
    <row r="5" spans="1:9" ht="16.5">
      <c r="A5" s="2997" t="s">
        <v>2851</v>
      </c>
      <c r="B5" s="2997">
        <f ca="1">SUM(D14:D23)</f>
        <v>14543</v>
      </c>
      <c r="C5" s="2997">
        <f ca="1">ROUND(B5*10000/$B$1,0)</f>
        <v>1122</v>
      </c>
      <c r="D5" s="2997">
        <f ca="1">ROUND(B5*10000/$B$2,0)</f>
        <v>1403</v>
      </c>
      <c r="E5" s="2998"/>
      <c r="F5" s="2998"/>
    </row>
    <row r="6" spans="1:9" ht="16.5">
      <c r="A6" s="2997" t="s">
        <v>2852</v>
      </c>
      <c r="B6" s="2997">
        <f ca="1">SUM(G14:G23)</f>
        <v>14543</v>
      </c>
      <c r="C6" s="2997">
        <f t="shared" ref="C6:C8" ca="1" si="0">ROUND(B6*10000/$B$1,0)</f>
        <v>1122</v>
      </c>
      <c r="D6" s="2997">
        <f t="shared" ref="D6:D8" ca="1" si="1">ROUND(B6*10000/$B$2,0)</f>
        <v>1403</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129597.37</v>
      </c>
      <c r="C14" s="3001">
        <f>结果表!K38</f>
        <v>103677.9</v>
      </c>
      <c r="D14" s="3001">
        <f ca="1">结果表!C42</f>
        <v>14543</v>
      </c>
      <c r="E14" s="3001">
        <f ca="1">ROUND(D14*10000/B14,0)</f>
        <v>1122</v>
      </c>
      <c r="F14" s="3001">
        <f ca="1">ROUND(D14*10000/C14,0)</f>
        <v>1403</v>
      </c>
      <c r="G14" s="3001">
        <f ca="1">结果表!C44</f>
        <v>14543</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14" sqref="C14:C1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08" t="str">
        <f>项目基本情况!K2</f>
        <v>山东省日照市东港区蓝色大道以北、海六路以西住宅、商业用地出让国有建设用地使用权</v>
      </c>
      <c r="B2" s="3309"/>
      <c r="C2" s="3310"/>
      <c r="D2" s="3310"/>
      <c r="E2" s="3310"/>
      <c r="F2" s="3310"/>
      <c r="G2" s="3309"/>
      <c r="H2" s="3309"/>
      <c r="I2" s="3311"/>
      <c r="J2" s="2015"/>
      <c r="K2" s="2014"/>
      <c r="L2" s="2014"/>
      <c r="M2" s="2014"/>
      <c r="N2" s="2014"/>
      <c r="O2" s="2014"/>
      <c r="P2" s="2014"/>
      <c r="Q2" s="2014"/>
      <c r="R2" s="2014"/>
      <c r="S2" s="2014"/>
      <c r="T2" s="2014"/>
      <c r="U2" s="2014"/>
      <c r="V2" s="2014"/>
    </row>
    <row r="3" spans="1:22" ht="14.25">
      <c r="A3" s="3301" t="s">
        <v>298</v>
      </c>
      <c r="B3" s="3302"/>
      <c r="C3" s="3302"/>
      <c r="D3" s="3302"/>
      <c r="E3" s="3302"/>
      <c r="F3" s="3302"/>
      <c r="G3" s="3302"/>
      <c r="H3" s="3302"/>
      <c r="I3" s="3302"/>
      <c r="J3" s="2015"/>
      <c r="K3" s="2014"/>
      <c r="L3" s="2014"/>
      <c r="M3" s="2014"/>
      <c r="N3" s="2014"/>
      <c r="O3" s="2014"/>
      <c r="P3" s="2014"/>
      <c r="Q3" s="2014"/>
      <c r="R3" s="2014"/>
      <c r="S3" s="2014"/>
      <c r="T3" s="2014"/>
      <c r="U3" s="2014"/>
      <c r="V3" s="2014"/>
    </row>
    <row r="4" spans="1:22" ht="14.25">
      <c r="A4" s="258" t="s">
        <v>299</v>
      </c>
      <c r="B4" s="259" t="s">
        <v>300</v>
      </c>
      <c r="C4" s="260" t="s">
        <v>3015</v>
      </c>
      <c r="D4" s="260" t="s">
        <v>3016</v>
      </c>
      <c r="E4" s="3273" t="s">
        <v>301</v>
      </c>
      <c r="F4" s="3274"/>
      <c r="G4" s="3274"/>
      <c r="H4" s="3274"/>
      <c r="I4" s="330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72" t="s">
        <v>302</v>
      </c>
      <c r="B5" s="3298">
        <v>25</v>
      </c>
      <c r="C5" s="3296"/>
      <c r="D5" s="3300"/>
      <c r="E5" s="261" t="s">
        <v>303</v>
      </c>
      <c r="F5" s="262"/>
      <c r="G5" s="262"/>
      <c r="H5" s="262"/>
      <c r="I5" s="263"/>
      <c r="J5" s="2015"/>
      <c r="K5" s="2014"/>
      <c r="L5" s="2014"/>
      <c r="M5" s="2014"/>
      <c r="N5" s="2014"/>
      <c r="O5" s="2014"/>
      <c r="P5" s="2014"/>
      <c r="Q5" s="2014"/>
      <c r="R5" s="2014"/>
      <c r="S5" s="2014"/>
      <c r="T5" s="2014"/>
      <c r="U5" s="2014"/>
      <c r="V5" s="2014"/>
    </row>
    <row r="6" spans="1:22" ht="14.25">
      <c r="A6" s="3272"/>
      <c r="B6" s="3298"/>
      <c r="C6" s="3299"/>
      <c r="D6" s="3300"/>
      <c r="E6" s="261" t="s">
        <v>304</v>
      </c>
      <c r="F6" s="262"/>
      <c r="G6" s="262"/>
      <c r="H6" s="262"/>
      <c r="I6" s="263"/>
      <c r="J6" s="2015"/>
      <c r="K6" s="2014"/>
      <c r="L6" s="2014"/>
      <c r="M6" s="2014"/>
      <c r="N6" s="2014"/>
      <c r="O6" s="2014"/>
      <c r="P6" s="2014"/>
      <c r="Q6" s="2014"/>
      <c r="R6" s="2014"/>
      <c r="S6" s="2014"/>
      <c r="T6" s="2014"/>
      <c r="U6" s="2014"/>
      <c r="V6" s="2014"/>
    </row>
    <row r="7" spans="1:22" ht="14.25">
      <c r="A7" s="3272"/>
      <c r="B7" s="3298"/>
      <c r="C7" s="3297"/>
      <c r="D7" s="3300"/>
      <c r="E7" s="261" t="s">
        <v>305</v>
      </c>
      <c r="F7" s="262"/>
      <c r="G7" s="262"/>
      <c r="H7" s="262"/>
      <c r="I7" s="263"/>
      <c r="J7" s="2015"/>
      <c r="K7" s="2014"/>
      <c r="L7" s="2014"/>
      <c r="M7" s="2014"/>
      <c r="N7" s="2014"/>
      <c r="O7" s="2014"/>
      <c r="P7" s="2014"/>
      <c r="Q7" s="2014"/>
      <c r="R7" s="2014"/>
      <c r="S7" s="2014"/>
      <c r="T7" s="2014"/>
      <c r="U7" s="2014"/>
      <c r="V7" s="2014"/>
    </row>
    <row r="8" spans="1:22" ht="14.25">
      <c r="A8" s="3272" t="s">
        <v>306</v>
      </c>
      <c r="B8" s="3298">
        <v>15</v>
      </c>
      <c r="C8" s="3296"/>
      <c r="D8" s="3300"/>
      <c r="E8" s="261" t="s">
        <v>307</v>
      </c>
      <c r="F8" s="262"/>
      <c r="G8" s="262"/>
      <c r="H8" s="262"/>
      <c r="I8" s="263"/>
      <c r="J8" s="2015"/>
      <c r="K8" s="2014"/>
      <c r="L8" s="2014"/>
      <c r="M8" s="2014"/>
      <c r="N8" s="2014"/>
      <c r="O8" s="2014"/>
      <c r="P8" s="2014"/>
      <c r="Q8" s="2014"/>
      <c r="R8" s="2014"/>
      <c r="S8" s="2014"/>
      <c r="T8" s="2014"/>
      <c r="U8" s="2014"/>
      <c r="V8" s="2014"/>
    </row>
    <row r="9" spans="1:22" ht="14.25">
      <c r="A9" s="3272"/>
      <c r="B9" s="3298"/>
      <c r="C9" s="3297"/>
      <c r="D9" s="3300"/>
      <c r="E9" s="261" t="s">
        <v>308</v>
      </c>
      <c r="F9" s="262"/>
      <c r="G9" s="262"/>
      <c r="H9" s="262"/>
      <c r="I9" s="263"/>
      <c r="J9" s="2015"/>
      <c r="K9" s="2014"/>
      <c r="L9" s="2014"/>
      <c r="M9" s="2014"/>
      <c r="N9" s="2014"/>
      <c r="O9" s="2014"/>
      <c r="P9" s="2014"/>
      <c r="Q9" s="2014"/>
      <c r="R9" s="2014"/>
      <c r="S9" s="2014"/>
      <c r="T9" s="2014"/>
      <c r="U9" s="2014"/>
      <c r="V9" s="2014"/>
    </row>
    <row r="10" spans="1:22" ht="14.25">
      <c r="A10" s="3272" t="s">
        <v>309</v>
      </c>
      <c r="B10" s="3298">
        <v>15</v>
      </c>
      <c r="C10" s="3296"/>
      <c r="D10" s="3300"/>
      <c r="E10" s="261" t="s">
        <v>310</v>
      </c>
      <c r="F10" s="262"/>
      <c r="G10" s="262"/>
      <c r="H10" s="262"/>
      <c r="I10" s="263"/>
      <c r="J10" s="2015"/>
      <c r="K10" s="2014"/>
      <c r="L10" s="2014"/>
      <c r="M10" s="2014"/>
      <c r="N10" s="2014"/>
      <c r="O10" s="2014"/>
      <c r="P10" s="2014"/>
      <c r="Q10" s="2014"/>
      <c r="R10" s="2014"/>
      <c r="S10" s="2014"/>
      <c r="T10" s="2014"/>
      <c r="U10" s="2014"/>
      <c r="V10" s="2014"/>
    </row>
    <row r="11" spans="1:22" ht="14.25">
      <c r="A11" s="3272"/>
      <c r="B11" s="3298"/>
      <c r="C11" s="3297"/>
      <c r="D11" s="3300"/>
      <c r="E11" s="261" t="s">
        <v>311</v>
      </c>
      <c r="F11" s="262"/>
      <c r="G11" s="262"/>
      <c r="H11" s="262"/>
      <c r="I11" s="263"/>
      <c r="J11" s="2015"/>
      <c r="K11" s="2014"/>
      <c r="L11" s="2014"/>
      <c r="M11" s="2014"/>
      <c r="N11" s="2014"/>
      <c r="O11" s="2014"/>
      <c r="P11" s="2014"/>
      <c r="Q11" s="2014"/>
      <c r="R11" s="2014"/>
      <c r="S11" s="2014"/>
      <c r="T11" s="2014"/>
      <c r="U11" s="2014"/>
      <c r="V11" s="2014"/>
    </row>
    <row r="12" spans="1:22" ht="14.25">
      <c r="A12" s="3272" t="s">
        <v>312</v>
      </c>
      <c r="B12" s="3298">
        <v>15</v>
      </c>
      <c r="C12" s="3296"/>
      <c r="D12" s="3300"/>
      <c r="E12" s="261" t="s">
        <v>313</v>
      </c>
      <c r="F12" s="262"/>
      <c r="G12" s="262"/>
      <c r="H12" s="262"/>
      <c r="I12" s="263"/>
      <c r="J12" s="2015"/>
      <c r="K12" s="2014"/>
      <c r="L12" s="2014"/>
      <c r="M12" s="2014"/>
      <c r="N12" s="2014"/>
      <c r="O12" s="2014"/>
      <c r="P12" s="2014"/>
      <c r="Q12" s="2014"/>
      <c r="R12" s="2014"/>
      <c r="S12" s="2014"/>
      <c r="T12" s="2014"/>
      <c r="U12" s="2014"/>
      <c r="V12" s="2014"/>
    </row>
    <row r="13" spans="1:22" ht="14.25">
      <c r="A13" s="3272"/>
      <c r="B13" s="3298"/>
      <c r="C13" s="3297"/>
      <c r="D13" s="3300"/>
      <c r="E13" s="261" t="s">
        <v>314</v>
      </c>
      <c r="F13" s="262"/>
      <c r="G13" s="262"/>
      <c r="H13" s="262"/>
      <c r="I13" s="263"/>
      <c r="J13" s="2015"/>
      <c r="K13" s="2014"/>
      <c r="L13" s="2014"/>
      <c r="M13" s="2014"/>
      <c r="N13" s="2014"/>
      <c r="O13" s="2014"/>
      <c r="P13" s="2014"/>
      <c r="Q13" s="2014"/>
      <c r="R13" s="2014"/>
      <c r="S13" s="2014"/>
      <c r="T13" s="2014"/>
      <c r="U13" s="2014"/>
      <c r="V13" s="2014"/>
    </row>
    <row r="14" spans="1:22" ht="14.25">
      <c r="A14" s="3272" t="s">
        <v>315</v>
      </c>
      <c r="B14" s="3298">
        <v>30</v>
      </c>
      <c r="C14" s="3296">
        <v>5</v>
      </c>
      <c r="D14" s="3300">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72"/>
      <c r="B15" s="3298"/>
      <c r="C15" s="3299"/>
      <c r="D15" s="3300"/>
      <c r="E15" s="261" t="s">
        <v>317</v>
      </c>
      <c r="F15" s="262"/>
      <c r="G15" s="262"/>
      <c r="H15" s="262"/>
      <c r="I15" s="263"/>
      <c r="J15" s="2015"/>
      <c r="K15" s="2014"/>
      <c r="L15" s="2014"/>
      <c r="M15" s="2014"/>
      <c r="N15" s="2014"/>
      <c r="O15" s="2014"/>
      <c r="P15" s="2014"/>
      <c r="Q15" s="2014"/>
      <c r="R15" s="2014"/>
      <c r="S15" s="2014"/>
      <c r="T15" s="2014"/>
      <c r="U15" s="2014"/>
      <c r="V15" s="2014"/>
    </row>
    <row r="16" spans="1:22" ht="14.25">
      <c r="A16" s="3272"/>
      <c r="B16" s="3298"/>
      <c r="C16" s="3297"/>
      <c r="D16" s="330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13682</v>
      </c>
      <c r="D19" s="271">
        <f ca="1">SUMIF(INDIRECT("'"&amp;D4&amp;"'"&amp;"!A:A"),结果表!B19,INDIRECT("'"&amp;D4&amp;"'"&amp;"!B:B"))</f>
        <v>15404</v>
      </c>
      <c r="E19" s="268" t="s">
        <v>323</v>
      </c>
      <c r="F19" s="269" t="s">
        <v>322</v>
      </c>
      <c r="G19" s="272">
        <f ca="1">ROUND(C19*$C$18+D19*$D$18,0)</f>
        <v>14543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1056</v>
      </c>
      <c r="D20" s="277">
        <f ca="1">SUMIF(INDIRECT("'"&amp;D4&amp;"'"&amp;"!A:A"),结果表!B20,INDIRECT("'"&amp;D4&amp;"'"&amp;"!B:B"))</f>
        <v>1189</v>
      </c>
      <c r="E20" s="274"/>
      <c r="F20" s="275" t="s">
        <v>325</v>
      </c>
      <c r="G20" s="278">
        <f ca="1">ROUND(C20*$C$18+D20*$D$18,0)</f>
        <v>1123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1320</v>
      </c>
      <c r="D21" s="151">
        <f ca="1">SUMIF(INDIRECT("'"&amp;D4&amp;"'"&amp;"!A:A"),结果表!B21,INDIRECT("'"&amp;D4&amp;"'"&amp;"!B:B"))</f>
        <v>1486</v>
      </c>
      <c r="E21" s="274"/>
      <c r="F21" s="280" t="s">
        <v>327</v>
      </c>
      <c r="G21" s="282">
        <f ca="1">ROUND(C21*$C$18+D21*$D$18,0)</f>
        <v>1403</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0.12585879257418497</v>
      </c>
      <c r="E22" s="284"/>
      <c r="F22" s="285"/>
      <c r="G22" s="286">
        <f ca="1">ROUND(G19/('数据-汇总表'!D3/666.67),0)</f>
        <v>94</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7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7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出让国有建设用地使用权价格：14543万元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大写金额：人民币壹亿肆仟伍佰肆拾叁万元整</v>
      </c>
      <c r="L26" s="1248"/>
      <c r="M26" s="1248"/>
      <c r="N26" s="1248"/>
      <c r="O26" s="1247"/>
      <c r="P26" s="2014"/>
      <c r="Q26" s="2014"/>
      <c r="R26" s="2014"/>
      <c r="S26" s="2014"/>
      <c r="T26" s="2014"/>
      <c r="U26" s="2014"/>
      <c r="V26" s="2014"/>
      <c r="W26" s="292"/>
      <c r="X26" s="292"/>
      <c r="Y26" s="292"/>
      <c r="Z26" s="292"/>
    </row>
    <row r="27" spans="1:26" ht="18">
      <c r="A27" s="293"/>
      <c r="B27" s="294"/>
      <c r="C27" s="294">
        <v>1.5</v>
      </c>
      <c r="D27" s="295"/>
      <c r="E27" s="311"/>
      <c r="F27" s="311"/>
      <c r="G27" s="311"/>
      <c r="H27" s="311"/>
      <c r="I27" s="311"/>
      <c r="J27" s="2014"/>
      <c r="K27" s="1254" t="str">
        <f ca="1">"单位面积地价："&amp;M38&amp;"元/平方米"</f>
        <v>单位面积地价：1403元/平方米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楼面地价：1122元/平方米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抵押价格：14543万元</v>
      </c>
      <c r="L29" s="1248"/>
      <c r="M29" s="1248"/>
      <c r="N29" s="1248"/>
      <c r="O29" s="1247"/>
      <c r="P29" s="2014"/>
      <c r="V29" s="2014"/>
    </row>
    <row r="30" spans="1:26" ht="18.75" thickBot="1">
      <c r="A30" s="3081" t="s">
        <v>336</v>
      </c>
      <c r="B30" s="309"/>
      <c r="C30" s="309"/>
      <c r="D30" s="310"/>
      <c r="E30" s="3082" t="s">
        <v>2960</v>
      </c>
      <c r="F30" s="311"/>
      <c r="G30" s="311"/>
      <c r="H30" s="311"/>
      <c r="I30" s="311"/>
      <c r="J30" s="2014"/>
      <c r="K30" s="1254" t="str">
        <f ca="1">IF(K29="——","——","大写金额：人民币"&amp;NUMBERSTRING(INT(O39*10000),2)&amp;"元整")</f>
        <v>大写金额：人民币壹亿肆仟伍佰肆拾叁万元整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14543</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1122</v>
      </c>
      <c r="D33" s="1382" t="s">
        <v>1691</v>
      </c>
      <c r="E33" s="3278"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1403</v>
      </c>
      <c r="D34" s="1384" t="s">
        <v>1691</v>
      </c>
      <c r="E34" s="3319"/>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94</v>
      </c>
      <c r="D35" s="1387" t="s">
        <v>1693</v>
      </c>
      <c r="E35" s="3320"/>
      <c r="F35" s="301" t="s">
        <v>342</v>
      </c>
      <c r="G35" s="982"/>
      <c r="H35" s="981" t="s">
        <v>343</v>
      </c>
      <c r="I35" s="311"/>
      <c r="J35" s="2014"/>
      <c r="K35" s="3293" t="s">
        <v>350</v>
      </c>
      <c r="L35" s="3293" t="s">
        <v>351</v>
      </c>
      <c r="M35" s="1260" t="s">
        <v>352</v>
      </c>
      <c r="N35" s="3293" t="s">
        <v>353</v>
      </c>
      <c r="O35" s="3293" t="s">
        <v>354</v>
      </c>
      <c r="P35" s="2014"/>
      <c r="V35" s="2014"/>
    </row>
    <row r="36" spans="1:26" ht="16.5" customHeight="1">
      <c r="A36" s="303" t="s">
        <v>344</v>
      </c>
      <c r="B36" s="304" t="s">
        <v>333</v>
      </c>
      <c r="C36" s="305" t="s">
        <v>345</v>
      </c>
      <c r="D36" s="305" t="s">
        <v>346</v>
      </c>
      <c r="E36" s="306" t="s">
        <v>347</v>
      </c>
      <c r="F36" s="311"/>
      <c r="G36" s="311"/>
      <c r="H36" s="311"/>
      <c r="I36" s="311"/>
      <c r="J36" s="2016"/>
      <c r="K36" s="3294"/>
      <c r="L36" s="3294"/>
      <c r="M36" s="1262" t="s">
        <v>355</v>
      </c>
      <c r="N36" s="3294"/>
      <c r="O36" s="3294"/>
      <c r="P36" s="2014"/>
      <c r="V36" s="2014"/>
    </row>
    <row r="37" spans="1:26" ht="16.5" customHeight="1" thickBot="1">
      <c r="A37" s="1256" t="s">
        <v>348</v>
      </c>
      <c r="B37" s="307"/>
      <c r="C37" s="294"/>
      <c r="D37" s="294"/>
      <c r="E37" s="295"/>
      <c r="F37" s="311"/>
      <c r="G37" s="311"/>
      <c r="H37" s="311"/>
      <c r="I37" s="311"/>
      <c r="J37" s="2016"/>
      <c r="K37" s="3295"/>
      <c r="L37" s="3295"/>
      <c r="M37" s="1263"/>
      <c r="N37" s="3295"/>
      <c r="O37" s="3295"/>
      <c r="P37" s="2014"/>
      <c r="V37" s="2014"/>
    </row>
    <row r="38" spans="1:26" ht="16.5" customHeight="1" thickBot="1">
      <c r="A38" s="1256" t="s">
        <v>349</v>
      </c>
      <c r="B38" s="307"/>
      <c r="C38" s="294"/>
      <c r="D38" s="294"/>
      <c r="E38" s="295"/>
      <c r="F38" s="311"/>
      <c r="G38" s="311"/>
      <c r="H38" s="311"/>
      <c r="I38" s="311"/>
      <c r="J38" s="2016"/>
      <c r="K38" s="1264">
        <f>'数据-汇总表'!D3</f>
        <v>103677.9</v>
      </c>
      <c r="L38" s="1265">
        <f>'数据-汇总表'!E3</f>
        <v>129597.37</v>
      </c>
      <c r="M38" s="1265">
        <f ca="1">C34</f>
        <v>1403</v>
      </c>
      <c r="N38" s="1265">
        <f ca="1">C33</f>
        <v>1122</v>
      </c>
      <c r="O38" s="1266">
        <f ca="1">C32</f>
        <v>14543</v>
      </c>
      <c r="P38" s="2014"/>
      <c r="V38" s="2014"/>
    </row>
    <row r="39" spans="1:26" ht="16.5" customHeight="1" thickBot="1">
      <c r="A39" s="1261"/>
      <c r="B39" s="308"/>
      <c r="C39" s="309"/>
      <c r="D39" s="309"/>
      <c r="E39" s="310"/>
      <c r="F39" s="311"/>
      <c r="G39" s="311"/>
      <c r="H39" s="311"/>
      <c r="I39" s="311"/>
      <c r="J39" s="2016"/>
      <c r="K39" s="3338" t="str">
        <f>MID(A44,3,LEN(A44)-2)</f>
        <v>抵押价格</v>
      </c>
      <c r="L39" s="3339"/>
      <c r="M39" s="3339"/>
      <c r="N39" s="3340"/>
      <c r="O39" s="1389">
        <f ca="1">C44</f>
        <v>14543</v>
      </c>
      <c r="P39" s="2014"/>
      <c r="V39" s="2014"/>
    </row>
    <row r="40" spans="1:26" ht="19.5" thickBot="1">
      <c r="A40" s="104" t="s">
        <v>873</v>
      </c>
      <c r="B40" s="311"/>
      <c r="C40" s="311"/>
      <c r="D40" s="311"/>
      <c r="E40" s="311"/>
      <c r="F40" s="311"/>
      <c r="G40" s="311"/>
      <c r="H40" s="311"/>
      <c r="I40" s="311"/>
      <c r="J40" s="2016"/>
      <c r="K40" s="3338" t="str">
        <f t="shared" ref="K40:K41" si="0">MID(A45,3,LEN(A45)-2)</f>
        <v/>
      </c>
      <c r="L40" s="3339"/>
      <c r="M40" s="3339"/>
      <c r="N40" s="334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8" t="str">
        <f t="shared" si="0"/>
        <v/>
      </c>
      <c r="L41" s="3339"/>
      <c r="M41" s="3339"/>
      <c r="N41" s="3340"/>
      <c r="O41" s="1389" t="str">
        <f>C46</f>
        <v>——</v>
      </c>
      <c r="P41" s="2014"/>
      <c r="V41" s="2014"/>
    </row>
    <row r="42" spans="1:26" ht="29.25">
      <c r="A42" s="3280" t="s">
        <v>2067</v>
      </c>
      <c r="B42" s="3281"/>
      <c r="C42" s="264">
        <f ca="1">C32</f>
        <v>14543</v>
      </c>
      <c r="D42" s="317">
        <f ca="1">C33</f>
        <v>1122</v>
      </c>
      <c r="E42" s="317">
        <f ca="1">C34</f>
        <v>1403</v>
      </c>
      <c r="F42" s="318">
        <f ca="1">C35</f>
        <v>94</v>
      </c>
      <c r="G42" s="311"/>
      <c r="H42" s="311"/>
      <c r="I42" s="319"/>
      <c r="J42" s="2016"/>
      <c r="K42" s="1267" t="s">
        <v>361</v>
      </c>
      <c r="L42" s="2033" t="s">
        <v>362</v>
      </c>
      <c r="M42" s="1268" t="s">
        <v>363</v>
      </c>
      <c r="N42" s="2034" t="s">
        <v>364</v>
      </c>
      <c r="O42" s="2035" t="s">
        <v>365</v>
      </c>
      <c r="P42" s="2014"/>
      <c r="V42" s="2014"/>
    </row>
    <row r="43" spans="1:26" ht="18">
      <c r="A43" s="3291" t="s">
        <v>2730</v>
      </c>
      <c r="B43" s="329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13682</v>
      </c>
      <c r="M43" s="1271">
        <f>C18</f>
        <v>0.5</v>
      </c>
      <c r="N43" s="1272">
        <f ca="1">IF(N42="测算结果/万元",G19,G20)</f>
        <v>14543</v>
      </c>
      <c r="O43" s="1273">
        <f ca="1">IF(O42="最终结果/万元",C32,C33)</f>
        <v>14543</v>
      </c>
      <c r="P43" s="2014"/>
      <c r="V43" s="2014"/>
    </row>
    <row r="44" spans="1:26" ht="18.75" thickBot="1">
      <c r="A44" s="3280" t="str">
        <f>IF(OR(项目基本情况!E8="抵押价格",项目基本情况!E8="已注销及未注销"),"3.抵押价格","——")</f>
        <v>3.抵押价格</v>
      </c>
      <c r="B44" s="3281"/>
      <c r="C44" s="264">
        <f ca="1">IF(A44="——","——",C42-C43)</f>
        <v>14543</v>
      </c>
      <c r="D44" s="317">
        <f ca="1">ROUND(C44*10000/'数据-汇总表'!E3,0)</f>
        <v>1122</v>
      </c>
      <c r="E44" s="317">
        <f ca="1">ROUND(C44*10000/'数据-汇总表'!D3,0)</f>
        <v>1403</v>
      </c>
      <c r="F44" s="318">
        <f ca="1">ROUND(C44/('数据-汇总表'!D3/666.67),0)</f>
        <v>94</v>
      </c>
      <c r="G44" s="311"/>
      <c r="H44" s="311"/>
      <c r="I44" s="319"/>
      <c r="J44" s="2016"/>
      <c r="K44" s="1274" t="str">
        <f>D4</f>
        <v>剩余法-待开发</v>
      </c>
      <c r="L44" s="1275">
        <f ca="1">IF(L42="估价结果/万元",D19,D20)</f>
        <v>15404</v>
      </c>
      <c r="M44" s="1276">
        <f>D18</f>
        <v>0.5</v>
      </c>
      <c r="N44" s="1277"/>
      <c r="O44" s="1278"/>
      <c r="P44" s="2014"/>
      <c r="V44" s="2014"/>
    </row>
    <row r="45" spans="1:26" ht="15">
      <c r="A45" s="3286" t="str">
        <f>IF(项目基本情况!E8="已注销及未注销","4.抵押担保权已注销时的抵押价格",IF(项目基本情况!E8="已注销","3.抵押担保权已注销时的抵押价格","——"))</f>
        <v>——</v>
      </c>
      <c r="B45" s="328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2" t="str">
        <f>IF(项目基本情况!E9="抵押净值",IF(A45="——","4.抵押净值","5.抵押净值"),"——")</f>
        <v>——</v>
      </c>
      <c r="B46" s="328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7" t="s">
        <v>374</v>
      </c>
      <c r="B63" s="3328"/>
      <c r="C63" s="3329"/>
      <c r="D63" s="341">
        <f ca="1">ROUND(C42*F63,0)</f>
        <v>8726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88" t="s">
        <v>378</v>
      </c>
      <c r="B64" s="3289"/>
      <c r="C64" s="3289"/>
      <c r="D64" s="3289"/>
      <c r="E64" s="3289"/>
      <c r="F64" s="3289"/>
      <c r="G64" s="329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84" t="s">
        <v>386</v>
      </c>
      <c r="B66" s="3285"/>
      <c r="C66" s="3285"/>
      <c r="D66" s="261">
        <f ca="1">IF(H66="情况1",0,IF(H66="情况2",D70,IF(H66="情况3",D71,IF(H66="情况4",D72))))</f>
        <v>465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2" t="s">
        <v>385</v>
      </c>
      <c r="M66" s="3343"/>
      <c r="N66" s="2423"/>
      <c r="O66" s="2424"/>
      <c r="P66" s="2425"/>
      <c r="Q66" s="2014"/>
      <c r="R66" s="2014"/>
      <c r="S66" s="2014"/>
      <c r="T66" s="2014"/>
      <c r="U66" s="2014"/>
      <c r="V66" s="2014"/>
    </row>
    <row r="67" spans="1:22" ht="25.5" customHeight="1">
      <c r="A67" s="352" t="s">
        <v>390</v>
      </c>
      <c r="B67" s="3275" t="s">
        <v>391</v>
      </c>
      <c r="C67" s="3275"/>
      <c r="D67" s="353">
        <v>0</v>
      </c>
      <c r="E67" s="41" t="s">
        <v>392</v>
      </c>
      <c r="F67" s="62" t="s">
        <v>21</v>
      </c>
      <c r="G67" s="3330"/>
      <c r="H67" s="311"/>
      <c r="I67" s="1288"/>
      <c r="J67" s="2021"/>
      <c r="K67" s="1962">
        <v>2</v>
      </c>
      <c r="L67" s="3341" t="s">
        <v>389</v>
      </c>
      <c r="M67" s="3341"/>
      <c r="N67" s="1321">
        <f>'数据-取费表'!B2</f>
        <v>43559</v>
      </c>
      <c r="O67" s="1321"/>
      <c r="P67" s="1321"/>
      <c r="Q67" s="2014"/>
      <c r="R67" s="2014"/>
      <c r="S67" s="2014"/>
      <c r="T67" s="2014"/>
      <c r="U67" s="2014"/>
      <c r="V67" s="2014"/>
    </row>
    <row r="68" spans="1:22" ht="25.5" customHeight="1">
      <c r="A68" s="354"/>
      <c r="B68" s="3275" t="s">
        <v>394</v>
      </c>
      <c r="C68" s="3275"/>
      <c r="D68" s="355"/>
      <c r="E68" s="77"/>
      <c r="F68" s="356"/>
      <c r="G68" s="3331"/>
      <c r="H68" s="311"/>
      <c r="I68" s="1288"/>
      <c r="J68" s="2021"/>
      <c r="K68" s="1962">
        <v>3</v>
      </c>
      <c r="L68" s="3341" t="s">
        <v>393</v>
      </c>
      <c r="M68" s="3341"/>
      <c r="N68" s="1289">
        <f ca="1">C42</f>
        <v>14543</v>
      </c>
      <c r="O68" s="1289"/>
      <c r="P68" s="1289"/>
      <c r="Q68" s="2014"/>
      <c r="R68" s="2014"/>
      <c r="S68" s="2014"/>
      <c r="T68" s="2014"/>
      <c r="U68" s="2014"/>
      <c r="V68" s="2014"/>
    </row>
    <row r="69" spans="1:22" ht="12" customHeight="1">
      <c r="A69" s="357"/>
      <c r="B69" s="3275" t="s">
        <v>395</v>
      </c>
      <c r="C69" s="3275"/>
      <c r="D69" s="358"/>
      <c r="E69" s="73"/>
      <c r="F69" s="356"/>
      <c r="G69" s="3332"/>
      <c r="H69" s="311"/>
      <c r="I69" s="1288"/>
      <c r="J69" s="2021"/>
      <c r="K69" s="1290">
        <v>4</v>
      </c>
      <c r="L69" s="3346" t="s">
        <v>2883</v>
      </c>
      <c r="M69" s="3347"/>
      <c r="N69" s="1291">
        <f ca="1">C44</f>
        <v>14543</v>
      </c>
      <c r="O69" s="1291"/>
      <c r="P69" s="1291"/>
      <c r="Q69" s="2014"/>
      <c r="R69" s="2014"/>
      <c r="S69" s="2014"/>
      <c r="T69" s="2014"/>
      <c r="U69" s="2014"/>
      <c r="V69" s="2014"/>
    </row>
    <row r="70" spans="1:22" ht="24" customHeight="1">
      <c r="A70" s="359" t="s">
        <v>396</v>
      </c>
      <c r="B70" s="3275" t="s">
        <v>397</v>
      </c>
      <c r="C70" s="3275"/>
      <c r="D70" s="358">
        <f ca="1">ROUND(D63*'数据-取费表'!B41/(1+'数据-取费表'!C42),0)</f>
        <v>465</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76" t="s">
        <v>405</v>
      </c>
      <c r="C71" s="3277"/>
      <c r="D71" s="358">
        <f ca="1">ROUND(D63*'数据-取费表'!B41/(1+'数据-取费表'!C42),0)</f>
        <v>465</v>
      </c>
      <c r="E71" s="17" t="s">
        <v>398</v>
      </c>
      <c r="F71" s="360">
        <f>'数据-取费表'!B41</f>
        <v>5.6000000000000001E-2</v>
      </c>
      <c r="G71" s="361"/>
      <c r="H71" s="311"/>
      <c r="I71" s="1288"/>
      <c r="J71" s="2021"/>
      <c r="K71" s="3013" t="s">
        <v>399</v>
      </c>
      <c r="L71" s="3348" t="s">
        <v>400</v>
      </c>
      <c r="M71" s="3348"/>
      <c r="N71" s="3013" t="s">
        <v>401</v>
      </c>
      <c r="O71" s="3013" t="s">
        <v>402</v>
      </c>
      <c r="P71" s="3013" t="s">
        <v>403</v>
      </c>
      <c r="Q71" s="2014"/>
      <c r="R71" s="2014"/>
      <c r="S71" s="2014"/>
      <c r="T71" s="2014"/>
      <c r="U71" s="2014"/>
      <c r="V71" s="2014"/>
    </row>
    <row r="72" spans="1:22" ht="12" customHeight="1">
      <c r="A72" s="359" t="s">
        <v>407</v>
      </c>
      <c r="B72" s="3276" t="s">
        <v>408</v>
      </c>
      <c r="C72" s="3277"/>
      <c r="D72" s="358">
        <f ca="1">C86</f>
        <v>353</v>
      </c>
      <c r="E72" s="73" t="s">
        <v>409</v>
      </c>
      <c r="F72" s="360">
        <f>'数据-取费表'!B41</f>
        <v>5.6000000000000001E-2</v>
      </c>
      <c r="G72" s="361"/>
      <c r="H72" s="1294"/>
      <c r="I72" s="1288"/>
      <c r="J72" s="2021"/>
      <c r="K72" s="1962">
        <v>1</v>
      </c>
      <c r="L72" s="3323" t="s">
        <v>406</v>
      </c>
      <c r="M72" s="3323"/>
      <c r="N72" s="1292">
        <f ca="1">D66</f>
        <v>465</v>
      </c>
      <c r="O72" s="1845" t="str">
        <f>E66</f>
        <v>销售额×税（费）率</v>
      </c>
      <c r="P72" s="1293">
        <f>F66</f>
        <v>5.6000000000000001E-2</v>
      </c>
      <c r="Q72" s="2014"/>
      <c r="R72" s="2014"/>
      <c r="S72" s="2014"/>
      <c r="T72" s="2014"/>
      <c r="U72" s="2014"/>
      <c r="V72" s="2014"/>
    </row>
    <row r="73" spans="1:22" ht="24" customHeight="1">
      <c r="A73" s="3317" t="s">
        <v>411</v>
      </c>
      <c r="B73" s="3285"/>
      <c r="C73" s="3285"/>
      <c r="D73" s="362">
        <f>IF(H73="个人住宅",0,ROUND(D63*I73,0))</f>
        <v>0</v>
      </c>
      <c r="E73" s="17" t="s">
        <v>412</v>
      </c>
      <c r="F73" s="360" t="str">
        <f>IF(H73="正常",I73,"免征")</f>
        <v>免征</v>
      </c>
      <c r="G73" s="361"/>
      <c r="H73" s="191" t="s">
        <v>2455</v>
      </c>
      <c r="I73" s="360">
        <f>'数据-取费表'!B49</f>
        <v>5.0000000000000001E-4</v>
      </c>
      <c r="J73" s="2021"/>
      <c r="K73" s="1962">
        <v>2</v>
      </c>
      <c r="L73" s="3323" t="s">
        <v>410</v>
      </c>
      <c r="M73" s="3323"/>
      <c r="N73" s="1292">
        <f t="shared" ref="N73:P74" si="1">D73</f>
        <v>0</v>
      </c>
      <c r="O73" s="1845" t="str">
        <f t="shared" si="1"/>
        <v>销售额×税（费）率</v>
      </c>
      <c r="P73" s="1293" t="str">
        <f t="shared" si="1"/>
        <v>免征</v>
      </c>
      <c r="Q73" s="2014"/>
      <c r="R73" s="2014"/>
      <c r="S73" s="2014"/>
      <c r="T73" s="2014"/>
      <c r="U73" s="2014"/>
      <c r="V73" s="2014"/>
    </row>
    <row r="74" spans="1:22" ht="24.75">
      <c r="A74" s="3317" t="s">
        <v>415</v>
      </c>
      <c r="B74" s="3285"/>
      <c r="C74" s="3285"/>
      <c r="D74" s="362">
        <f ca="1">IF(H74="个人住宅",D75,D76)</f>
        <v>4283</v>
      </c>
      <c r="E74" s="17" t="s">
        <v>416</v>
      </c>
      <c r="F74" s="360" t="str">
        <f>IF(H74="正常",F76,"免征")</f>
        <v>——</v>
      </c>
      <c r="G74" s="983" t="s">
        <v>417</v>
      </c>
      <c r="H74" s="363" t="s">
        <v>413</v>
      </c>
      <c r="I74" s="42"/>
      <c r="J74" s="2021"/>
      <c r="K74" s="1962">
        <v>3</v>
      </c>
      <c r="L74" s="3323" t="s">
        <v>414</v>
      </c>
      <c r="M74" s="3323"/>
      <c r="N74" s="1292">
        <f t="shared" ca="1" si="1"/>
        <v>4283</v>
      </c>
      <c r="O74" s="1845" t="str">
        <f t="shared" si="1"/>
        <v>增值额×税（费）率</v>
      </c>
      <c r="P74" s="1295" t="str">
        <f t="shared" si="1"/>
        <v>——</v>
      </c>
      <c r="Q74" s="2014"/>
      <c r="R74" s="2014"/>
      <c r="S74" s="2014"/>
      <c r="T74" s="2014"/>
      <c r="U74" s="2014"/>
      <c r="V74" s="2014"/>
    </row>
    <row r="75" spans="1:22" ht="24">
      <c r="A75" s="359" t="s">
        <v>418</v>
      </c>
      <c r="B75" s="3273" t="s">
        <v>419</v>
      </c>
      <c r="C75" s="3303"/>
      <c r="D75" s="364">
        <v>0</v>
      </c>
      <c r="E75" s="41" t="s">
        <v>420</v>
      </c>
      <c r="F75" s="365"/>
      <c r="G75" s="361"/>
      <c r="H75" s="42"/>
      <c r="I75" s="42"/>
      <c r="J75" s="2021"/>
      <c r="K75" s="3006">
        <f>IF(H77="非个人房产","",4)</f>
        <v>4</v>
      </c>
      <c r="L75" s="3323" t="str">
        <f>IF(H77="非个人房产","——","个人所得税")</f>
        <v>个人所得税</v>
      </c>
      <c r="M75" s="3323"/>
      <c r="N75" s="1296">
        <f ca="1">D77</f>
        <v>87</v>
      </c>
      <c r="O75" s="1858" t="str">
        <f>E77</f>
        <v>销售额×税（费）率</v>
      </c>
      <c r="P75" s="1297">
        <f>F77</f>
        <v>0.01</v>
      </c>
      <c r="Q75" s="2014"/>
      <c r="R75" s="2014"/>
      <c r="S75" s="2014"/>
      <c r="T75" s="2014"/>
      <c r="U75" s="2014"/>
      <c r="V75" s="2014"/>
    </row>
    <row r="76" spans="1:22" ht="24.75">
      <c r="A76" s="359" t="s">
        <v>396</v>
      </c>
      <c r="B76" s="3273" t="s">
        <v>422</v>
      </c>
      <c r="C76" s="3274"/>
      <c r="D76" s="362">
        <f ca="1">IF(H76="转让取得",C99,C115)</f>
        <v>4283</v>
      </c>
      <c r="E76" s="17" t="s">
        <v>423</v>
      </c>
      <c r="F76" s="53" t="s">
        <v>21</v>
      </c>
      <c r="G76" s="361"/>
      <c r="H76" s="363" t="s">
        <v>424</v>
      </c>
      <c r="I76" s="42"/>
      <c r="J76" s="2021"/>
      <c r="K76" s="3006" t="str">
        <f>IF(项目基本情况!K6="上海银行",IF(K75="",4,K75+1),"")</f>
        <v/>
      </c>
      <c r="L76" s="3334" t="str">
        <f>IF(项目基本情况!K6="上海银行","其他处置费用","")</f>
        <v/>
      </c>
      <c r="M76" s="3335"/>
      <c r="N76" s="1292" t="str">
        <f>IF(项目基本情况!K6="上海银行",N89,"")</f>
        <v/>
      </c>
      <c r="O76" s="3336" t="str">
        <f>IF(项目基本情况!K6="上海银行","包含处置中涉及的律师、诉讼、拍卖、评估等费用","")</f>
        <v/>
      </c>
      <c r="P76" s="3337"/>
      <c r="Q76" s="2014"/>
      <c r="R76" s="2014"/>
      <c r="S76" s="2014"/>
      <c r="T76" s="2014"/>
      <c r="U76" s="2014"/>
      <c r="V76" s="2014"/>
    </row>
    <row r="77" spans="1:22" ht="26.25" thickBot="1">
      <c r="A77" s="3325" t="s">
        <v>426</v>
      </c>
      <c r="B77" s="3326"/>
      <c r="C77" s="3326"/>
      <c r="D77" s="366">
        <f ca="1">IF(H77="非个人房产","——",IF(H77="个人住宅",0,ROUND(D63*I77,0)))</f>
        <v>87</v>
      </c>
      <c r="E77" s="367" t="str">
        <f>IF(H77="非个人房产","——","销售额×税（费）率")</f>
        <v>销售额×税（费）率</v>
      </c>
      <c r="F77" s="368">
        <f>IF(H77="非个人房产","——",IF(H77="个人住宅","免征",I77))</f>
        <v>0.01</v>
      </c>
      <c r="G77" s="984" t="s">
        <v>417</v>
      </c>
      <c r="H77" s="363" t="s">
        <v>2884</v>
      </c>
      <c r="I77" s="369">
        <v>0.01</v>
      </c>
      <c r="J77" s="2021"/>
      <c r="K77" s="3324">
        <f>IF(AND(K75="",K76=""),4,IF(项目基本情况!K6="上海银行",K76+1,K75+1))</f>
        <v>5</v>
      </c>
      <c r="L77" s="3323" t="s">
        <v>2885</v>
      </c>
      <c r="M77" s="3012" t="s">
        <v>421</v>
      </c>
      <c r="N77" s="1298"/>
      <c r="O77" s="1299">
        <f ca="1">SUMIF(N72:N76,"&lt;9e307")</f>
        <v>4835</v>
      </c>
      <c r="P77" s="1300"/>
      <c r="Q77" s="3010">
        <f ca="1">O77/N69</f>
        <v>0.3324623530220725</v>
      </c>
      <c r="R77" s="2014"/>
      <c r="S77" s="2014"/>
      <c r="T77" s="2014"/>
      <c r="U77" s="2014"/>
      <c r="V77" s="2014"/>
    </row>
    <row r="78" spans="1:22" ht="12" customHeight="1">
      <c r="A78" s="1301"/>
      <c r="B78" s="311"/>
      <c r="C78" s="311"/>
      <c r="D78" s="311"/>
      <c r="E78" s="42"/>
      <c r="F78" s="42"/>
      <c r="G78" s="42"/>
      <c r="H78" s="1003"/>
      <c r="I78" s="311"/>
      <c r="J78" s="2021"/>
      <c r="K78" s="3324"/>
      <c r="L78" s="3323"/>
      <c r="M78" s="3012" t="s">
        <v>425</v>
      </c>
      <c r="N78" s="1298"/>
      <c r="O78" s="1299" t="str">
        <f ca="1">NUMBERSTRING(INT(O77*10000),2)&amp;"元整"</f>
        <v>肆仟捌佰叁拾伍万元整</v>
      </c>
      <c r="P78" s="1300"/>
      <c r="Q78" s="2014"/>
      <c r="R78" s="2014"/>
      <c r="S78" s="2014"/>
      <c r="T78" s="2014"/>
      <c r="U78" s="2014"/>
      <c r="V78" s="2014"/>
    </row>
    <row r="79" spans="1:22" ht="13.5" thickBot="1">
      <c r="A79" s="3318" t="s">
        <v>427</v>
      </c>
      <c r="B79" s="3318"/>
      <c r="C79" s="3318"/>
      <c r="D79" s="3318"/>
      <c r="E79" s="3318"/>
      <c r="F79" s="42"/>
      <c r="G79" s="42"/>
      <c r="H79" s="1003"/>
      <c r="I79" s="311"/>
      <c r="J79" s="2021"/>
      <c r="K79" s="3344">
        <f>K77+1</f>
        <v>6</v>
      </c>
      <c r="L79" s="3323" t="s">
        <v>2886</v>
      </c>
      <c r="M79" s="3012" t="s">
        <v>421</v>
      </c>
      <c r="N79" s="1298"/>
      <c r="O79" s="1299">
        <f ca="1">N69-O77</f>
        <v>9708</v>
      </c>
      <c r="P79" s="1300"/>
      <c r="Q79" s="2014"/>
      <c r="R79" s="2014"/>
      <c r="S79" s="2014"/>
      <c r="T79" s="2014"/>
      <c r="U79" s="2014"/>
      <c r="V79" s="2014"/>
    </row>
    <row r="80" spans="1:22" ht="12.75">
      <c r="A80" s="3313" t="s">
        <v>428</v>
      </c>
      <c r="B80" s="3314"/>
      <c r="C80" s="994"/>
      <c r="D80" s="994" t="s">
        <v>429</v>
      </c>
      <c r="E80" s="370" t="s">
        <v>430</v>
      </c>
      <c r="F80" s="42"/>
      <c r="G80" s="42"/>
      <c r="H80" s="1003"/>
      <c r="I80" s="311"/>
      <c r="J80" s="2014"/>
      <c r="K80" s="3345"/>
      <c r="L80" s="3323"/>
      <c r="M80" s="3012" t="s">
        <v>425</v>
      </c>
      <c r="N80" s="1298"/>
      <c r="O80" s="1299" t="str">
        <f ca="1">NUMBERSTRING(INT(O79*10000),2)&amp;"元整"</f>
        <v>玖仟柒佰零捌万元整</v>
      </c>
      <c r="P80" s="1300"/>
      <c r="Q80" s="2014"/>
      <c r="R80" s="2014"/>
      <c r="S80" s="2014"/>
      <c r="T80" s="2014"/>
      <c r="U80" s="2014"/>
      <c r="V80" s="2014"/>
    </row>
    <row r="81" spans="1:26" ht="13.5" thickBot="1">
      <c r="A81" s="381" t="s">
        <v>1823</v>
      </c>
      <c r="B81" s="371" t="s">
        <v>431</v>
      </c>
      <c r="C81" s="372">
        <f ca="1">ROUND((C82+C83)/(1+'数据-取费表'!C42),0)</f>
        <v>8310</v>
      </c>
      <c r="D81" s="373"/>
      <c r="E81" s="374"/>
      <c r="F81" s="42"/>
      <c r="G81" s="42"/>
      <c r="H81" s="1003"/>
      <c r="I81" s="311"/>
      <c r="J81" s="2014"/>
      <c r="K81" s="3006">
        <f>K79+1</f>
        <v>7</v>
      </c>
      <c r="L81" s="3321" t="s">
        <v>2887</v>
      </c>
      <c r="M81" s="3322"/>
      <c r="N81" s="1302"/>
      <c r="O81" s="1303">
        <f ca="1">ROUND(O79*10000/'数据-汇总表'!E3,0)</f>
        <v>749</v>
      </c>
      <c r="P81" s="1304"/>
      <c r="Q81" s="2014"/>
      <c r="R81" s="2014"/>
      <c r="S81" s="2014"/>
      <c r="T81" s="2014"/>
      <c r="U81" s="2014"/>
      <c r="V81" s="2014"/>
    </row>
    <row r="82" spans="1:26" ht="13.5" thickTop="1">
      <c r="A82" s="375" t="s">
        <v>1824</v>
      </c>
      <c r="B82" s="376" t="s">
        <v>432</v>
      </c>
      <c r="C82" s="377">
        <f ca="1">D63</f>
        <v>8726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33" t="s">
        <v>2874</v>
      </c>
      <c r="L83" s="3018" t="s">
        <v>2875</v>
      </c>
      <c r="M83" s="3008">
        <f ca="1">IF(N69&gt;10000,N69*0.5%,IF(AND(N69&gt;1000,N69&lt;=10000),N69*1%,IF(AND(N69&gt;100,N69&lt;=1000),N69*3%,IF(AND(N69&gt;10,N69&lt;=100),N69*5%,N69*8%))))</f>
        <v>72.715000000000003</v>
      </c>
      <c r="N83" s="53">
        <f ca="1">ROUND(M83,1)</f>
        <v>72.7</v>
      </c>
      <c r="O83" s="3011"/>
      <c r="P83" s="2014"/>
      <c r="Q83" s="2014"/>
      <c r="R83" s="2014"/>
      <c r="S83" s="2014"/>
      <c r="T83" s="2014"/>
      <c r="U83" s="2014"/>
      <c r="V83" s="2014"/>
    </row>
    <row r="84" spans="1:26" ht="12.75">
      <c r="A84" s="381" t="s">
        <v>1826</v>
      </c>
      <c r="B84" s="382" t="s">
        <v>434</v>
      </c>
      <c r="C84" s="383">
        <v>2000</v>
      </c>
      <c r="D84" s="384" t="s">
        <v>19</v>
      </c>
      <c r="E84" s="3052" t="s">
        <v>2932</v>
      </c>
      <c r="F84" s="42"/>
      <c r="G84" s="42"/>
      <c r="H84" s="1003"/>
      <c r="I84" s="311"/>
      <c r="J84" s="2014"/>
      <c r="K84" s="3333"/>
      <c r="L84" s="3018" t="s">
        <v>2876</v>
      </c>
      <c r="M84" s="3008">
        <f ca="1">IF(N69&gt;2000,N69*0.5%,IF(AND(N69&gt;1000,N69&lt;=2000),N69*0.6%,IF(AND(N69&gt;500,N69&lt;=1000),N69*0.7%,IF(AND(N69&gt;200,N69&lt;=500),N69*0.8%,IF(AND(N69&gt;100,N69&lt;=200),N69*0.9%,IF(AND(N69&gt;50,N69&lt;=100),N69*1%,IF(AND(N69&gt;20,N69&lt;=50),N69*1.5%,IF(AND(N69&gt;10,N69&lt;=20),N69*2%,IF(AND(N69&gt;1,N69&lt;=10),N69*2.5%)))))))))</f>
        <v>72.715000000000003</v>
      </c>
      <c r="N84" s="53">
        <f t="shared" ref="N84:N85" ca="1" si="2">ROUND(M84,1)</f>
        <v>72.7</v>
      </c>
      <c r="O84" s="2014" t="s">
        <v>2877</v>
      </c>
      <c r="P84" s="2014"/>
      <c r="Q84" s="2014"/>
      <c r="R84" s="2014"/>
      <c r="S84" s="2014"/>
      <c r="T84" s="2014"/>
      <c r="U84" s="2014"/>
      <c r="V84" s="2014"/>
    </row>
    <row r="85" spans="1:26" ht="12.75">
      <c r="A85" s="381" t="s">
        <v>1827</v>
      </c>
      <c r="B85" s="382" t="s">
        <v>435</v>
      </c>
      <c r="C85" s="385">
        <f ca="1">C81-C84</f>
        <v>6310</v>
      </c>
      <c r="D85" s="378" t="s">
        <v>19</v>
      </c>
      <c r="E85" s="379"/>
      <c r="F85" s="42"/>
      <c r="G85" s="42"/>
      <c r="H85" s="1003"/>
      <c r="I85" s="311"/>
      <c r="J85" s="2014"/>
      <c r="K85" s="3333"/>
      <c r="L85" s="3018" t="s">
        <v>2878</v>
      </c>
      <c r="M85" s="3008">
        <f ca="1">IF(N69&gt;1000,N69*0.1%,IF(AND(N69&gt;500,N69&lt;=1000),N69*0.5%,IF(AND(N69&gt;50,N69&lt;=500),N69*1%,IF(AND(N69&gt;1,N69&lt;=50),N69*1.5%))))</f>
        <v>14.543000000000001</v>
      </c>
      <c r="N85" s="53">
        <f t="shared" ca="1" si="2"/>
        <v>14.5</v>
      </c>
      <c r="O85" s="2014" t="s">
        <v>2877</v>
      </c>
      <c r="P85" s="2014"/>
      <c r="Q85" s="2014"/>
      <c r="R85" s="2014"/>
      <c r="S85" s="2014"/>
      <c r="T85" s="2014"/>
      <c r="U85" s="2014"/>
      <c r="V85" s="2014"/>
    </row>
    <row r="86" spans="1:26" ht="13.5" thickBot="1">
      <c r="A86" s="386" t="s">
        <v>1828</v>
      </c>
      <c r="B86" s="387" t="s">
        <v>436</v>
      </c>
      <c r="C86" s="388">
        <f ca="1">IF(C85&lt;=0,0,ROUND(C85*D86,0))</f>
        <v>353</v>
      </c>
      <c r="D86" s="389">
        <f>'数据-取费表'!B41</f>
        <v>5.6000000000000001E-2</v>
      </c>
      <c r="E86" s="390"/>
      <c r="F86" s="42"/>
      <c r="G86" s="42"/>
      <c r="H86" s="1003"/>
      <c r="I86" s="311"/>
      <c r="J86" s="2014"/>
      <c r="K86" s="3333"/>
      <c r="L86" s="3018" t="s">
        <v>2879</v>
      </c>
      <c r="M86" s="3008">
        <f ca="1">N69*0.5%</f>
        <v>72.715000000000003</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3"/>
      <c r="L87" s="3018" t="s">
        <v>2881</v>
      </c>
      <c r="M87" s="3008">
        <f ca="1">IF(N69&gt;=10000,(8.25+(N69-10000)*0.01%),IF(AND(N69&gt;=8000,N69&lt;10000),(7.85+(N69-8000)*0.02%),IF(AND(N69&gt;=5000,N69&lt;8000),(6.65+(N69-5000)*0.04%),IF(AND(N69&gt;=2000,N69&lt;5000),(4.25+(PN69-2000)*0.08%),IF(AND(N69&gt;=1000,N69&lt;2000),(2.75+(N69-1000)*0.15%),IF(AND(N69&gt;=100,N69&lt;1000),(0.5+(N69-100)*0.25%),IF(AND(N69&gt;0,N69&lt;100),N69*0.5%)))))))</f>
        <v>8.7042999999999999</v>
      </c>
      <c r="N87" s="53">
        <f ca="1">ROUND(M87*0.9,1)</f>
        <v>7.8</v>
      </c>
      <c r="O87" s="3011"/>
      <c r="P87" s="311"/>
      <c r="Q87" s="2014"/>
      <c r="R87" s="2014"/>
      <c r="S87" s="2014"/>
      <c r="T87" s="2014"/>
      <c r="U87" s="2014"/>
      <c r="V87" s="2014"/>
      <c r="W87" s="292"/>
      <c r="X87" s="292"/>
      <c r="Y87" s="292"/>
      <c r="Z87" s="292"/>
    </row>
    <row r="88" spans="1:26" s="1310" customFormat="1" ht="15" thickBot="1">
      <c r="A88" s="3315" t="s">
        <v>437</v>
      </c>
      <c r="B88" s="3316"/>
      <c r="C88" s="3316"/>
      <c r="D88" s="3316"/>
      <c r="E88" s="3316"/>
      <c r="F88" s="3316"/>
      <c r="G88" s="3316"/>
      <c r="H88" s="3316"/>
      <c r="I88" s="1311"/>
      <c r="J88" s="2022"/>
      <c r="K88" s="3333"/>
      <c r="L88" s="3018" t="s">
        <v>2882</v>
      </c>
      <c r="M88" s="3008">
        <f ca="1">IF(N69&gt;10000,N69*0.5%,IF(AND(N69&gt;5000,N69&lt;=10000),N69*1%,IF(AND(N69&gt;1000,N69&lt;=5000),N69*2%,IF(AND(N69&gt;200,N69&lt;=1000),N69*3%,N69*5%))))</f>
        <v>72.715000000000003</v>
      </c>
      <c r="N88" s="53">
        <f ca="1">ROUND(M88,1)</f>
        <v>72.7</v>
      </c>
      <c r="O88" s="3011"/>
      <c r="P88" s="11"/>
      <c r="Q88" s="2019"/>
      <c r="R88" s="2019"/>
      <c r="S88" s="2019"/>
      <c r="T88" s="2019"/>
      <c r="U88" s="2019"/>
      <c r="V88" s="2019"/>
      <c r="W88" s="2023"/>
      <c r="X88" s="2023"/>
      <c r="Y88" s="2023"/>
      <c r="Z88" s="2023"/>
    </row>
    <row r="89" spans="1:26" s="1310" customFormat="1" ht="14.25">
      <c r="A89" s="3313" t="s">
        <v>428</v>
      </c>
      <c r="B89" s="3314"/>
      <c r="C89" s="994"/>
      <c r="D89" s="994" t="s">
        <v>429</v>
      </c>
      <c r="E89" s="391" t="s">
        <v>438</v>
      </c>
      <c r="F89" s="392"/>
      <c r="G89" s="392"/>
      <c r="H89" s="393"/>
      <c r="I89" s="1312"/>
      <c r="J89" s="2024"/>
      <c r="K89" s="3333"/>
      <c r="L89" s="3018" t="s">
        <v>27</v>
      </c>
      <c r="M89" s="3009"/>
      <c r="N89" s="53">
        <f ca="1">ROUND(SUM(N83:N88),0)</f>
        <v>241</v>
      </c>
      <c r="O89" s="3019">
        <f ca="1">N89/N69</f>
        <v>1.6571546448463179E-2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8310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2611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76" t="s">
        <v>447</v>
      </c>
      <c r="F94" s="3275"/>
      <c r="G94" s="3275"/>
      <c r="H94" s="331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50</v>
      </c>
      <c r="D96" s="406">
        <f>'数据-取费表'!B43</f>
        <v>6.000000000000001E-3</v>
      </c>
      <c r="E96" s="3304" t="s">
        <v>2428</v>
      </c>
      <c r="F96" s="3305"/>
      <c r="G96" s="3305"/>
      <c r="H96" s="330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5699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2.1826886250478745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2506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15" t="s">
        <v>454</v>
      </c>
      <c r="B101" s="3316"/>
      <c r="C101" s="3316"/>
      <c r="D101" s="3316"/>
      <c r="E101" s="3316"/>
      <c r="F101" s="3316"/>
      <c r="G101" s="3316"/>
      <c r="H101" s="331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3" t="s">
        <v>428</v>
      </c>
      <c r="B102" s="331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8310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740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07" t="s">
        <v>462</v>
      </c>
      <c r="F109" s="3305"/>
      <c r="G109" s="330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07" t="s">
        <v>464</v>
      </c>
      <c r="F110" s="3305"/>
      <c r="G110" s="3305"/>
      <c r="H110" s="330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50</v>
      </c>
      <c r="D111" s="406">
        <f>'数据-取费表'!B43</f>
        <v>6.000000000000001E-3</v>
      </c>
      <c r="E111" s="3304" t="s">
        <v>2428</v>
      </c>
      <c r="F111" s="3305"/>
      <c r="G111" s="3305"/>
      <c r="H111" s="330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07" t="s">
        <v>2453</v>
      </c>
      <c r="F112" s="3305"/>
      <c r="G112" s="3305"/>
      <c r="H112" s="330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7570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10.22972972972973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4283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G49" sqref="G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13682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1056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1320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58" t="s">
        <v>522</v>
      </c>
      <c r="D6" s="3359"/>
      <c r="E6" s="3358" t="s">
        <v>523</v>
      </c>
      <c r="F6" s="3359"/>
      <c r="G6" s="3358" t="s">
        <v>524</v>
      </c>
      <c r="H6" s="3359"/>
      <c r="I6" s="3358" t="s">
        <v>525</v>
      </c>
      <c r="J6" s="3359"/>
      <c r="K6" s="514" t="s">
        <v>526</v>
      </c>
      <c r="L6" s="2119"/>
      <c r="M6" s="2118"/>
      <c r="N6" s="2118"/>
      <c r="O6" s="2120"/>
      <c r="P6" s="3360" t="s">
        <v>527</v>
      </c>
      <c r="Q6" s="3361"/>
      <c r="R6" s="3366" t="s">
        <v>523</v>
      </c>
      <c r="S6" s="3367"/>
      <c r="T6" s="3366" t="s">
        <v>524</v>
      </c>
      <c r="U6" s="3367"/>
      <c r="V6" s="3353" t="s">
        <v>525</v>
      </c>
      <c r="W6" s="3353"/>
      <c r="X6" s="1554"/>
      <c r="Y6" s="3366" t="s">
        <v>527</v>
      </c>
      <c r="Z6" s="3367"/>
      <c r="AA6" s="3355" t="s">
        <v>523</v>
      </c>
      <c r="AB6" s="3356" t="s">
        <v>524</v>
      </c>
      <c r="AC6" s="3355" t="s">
        <v>525</v>
      </c>
    </row>
    <row r="7" spans="1:30" ht="20.25">
      <c r="A7" s="515"/>
      <c r="B7" s="516"/>
      <c r="C7" s="3374" t="s">
        <v>2921</v>
      </c>
      <c r="D7" s="3375"/>
      <c r="E7" s="3374" t="s">
        <v>2922</v>
      </c>
      <c r="F7" s="3375"/>
      <c r="G7" s="3374" t="s">
        <v>2923</v>
      </c>
      <c r="H7" s="3375"/>
      <c r="I7" s="3374" t="s">
        <v>2924</v>
      </c>
      <c r="J7" s="3375"/>
      <c r="K7" s="514"/>
      <c r="L7" s="2119"/>
      <c r="M7" s="2118"/>
      <c r="N7" s="2118"/>
      <c r="O7" s="2120"/>
      <c r="P7" s="3362"/>
      <c r="Q7" s="3363"/>
      <c r="R7" s="3368"/>
      <c r="S7" s="3369"/>
      <c r="T7" s="3368"/>
      <c r="U7" s="3369"/>
      <c r="V7" s="3353"/>
      <c r="W7" s="3353"/>
      <c r="X7" s="1554"/>
      <c r="Y7" s="3368"/>
      <c r="Z7" s="3369"/>
      <c r="AA7" s="3356"/>
      <c r="AB7" s="3356"/>
      <c r="AC7" s="3356"/>
    </row>
    <row r="8" spans="1:30" ht="21" thickBot="1">
      <c r="A8" s="515"/>
      <c r="B8" s="516"/>
      <c r="C8" s="3376" t="s">
        <v>2925</v>
      </c>
      <c r="D8" s="3377"/>
      <c r="E8" s="3376" t="s">
        <v>2925</v>
      </c>
      <c r="F8" s="3377"/>
      <c r="G8" s="3372" t="s">
        <v>2925</v>
      </c>
      <c r="H8" s="3373"/>
      <c r="I8" s="3372" t="s">
        <v>2925</v>
      </c>
      <c r="J8" s="3373"/>
      <c r="K8" s="514" t="s">
        <v>528</v>
      </c>
      <c r="L8" s="2119"/>
      <c r="M8" s="2118"/>
      <c r="N8" s="2118"/>
      <c r="O8" s="2120"/>
      <c r="P8" s="3364"/>
      <c r="Q8" s="3365"/>
      <c r="R8" s="3368"/>
      <c r="S8" s="3369"/>
      <c r="T8" s="3370"/>
      <c r="U8" s="3371"/>
      <c r="V8" s="3353"/>
      <c r="W8" s="3353"/>
      <c r="X8" s="1554"/>
      <c r="Y8" s="3370"/>
      <c r="Z8" s="3371"/>
      <c r="AA8" s="3357"/>
      <c r="AB8" s="3357"/>
      <c r="AC8" s="3357"/>
    </row>
    <row r="9" spans="1:30" s="1216" customFormat="1" ht="21" thickBot="1">
      <c r="A9" s="2868"/>
      <c r="B9" s="2875" t="s">
        <v>529</v>
      </c>
      <c r="C9" s="2867">
        <f>'数据-取费表'!B2</f>
        <v>43559</v>
      </c>
      <c r="D9" s="520">
        <v>100</v>
      </c>
      <c r="E9" s="521">
        <v>43559</v>
      </c>
      <c r="F9" s="522">
        <f>SUMIF(72:72,YEAR(E9)&amp;"-"&amp;INT((MONTH(E9)+2)/3),73:73)</f>
        <v>100</v>
      </c>
      <c r="G9" s="523">
        <f>E9</f>
        <v>43559</v>
      </c>
      <c r="H9" s="520">
        <f>SUMIF(72:72,YEAR(G9)&amp;"-"&amp;INT((MONTH(G9)+2)/3),73:73)</f>
        <v>100</v>
      </c>
      <c r="I9" s="523">
        <f>G9</f>
        <v>43559</v>
      </c>
      <c r="J9" s="520">
        <f>SUMIF(72:72,YEAR(I9)&amp;"-"&amp;INT((MONTH(I9)+2)/3),73:73)</f>
        <v>100</v>
      </c>
      <c r="K9" s="524"/>
      <c r="L9" s="2121"/>
      <c r="M9" s="2118"/>
      <c r="N9" s="2118"/>
      <c r="O9" s="2122"/>
      <c r="P9" s="3383" t="s">
        <v>530</v>
      </c>
      <c r="Q9" s="3385"/>
      <c r="R9" s="1555" t="s">
        <v>8</v>
      </c>
      <c r="S9" s="1556">
        <f t="shared" ref="S9:S17" si="0">F9</f>
        <v>100</v>
      </c>
      <c r="T9" s="1555" t="s">
        <v>8</v>
      </c>
      <c r="U9" s="1556">
        <f t="shared" ref="U9:U17" si="1">H9</f>
        <v>100</v>
      </c>
      <c r="V9" s="1555" t="s">
        <v>8</v>
      </c>
      <c r="W9" s="1556">
        <f t="shared" ref="W9:W17" si="2">J9</f>
        <v>100</v>
      </c>
      <c r="X9" s="1557"/>
      <c r="Y9" s="3383" t="s">
        <v>530</v>
      </c>
      <c r="Z9" s="3384"/>
      <c r="AA9" s="1558">
        <f>D9/F9</f>
        <v>1</v>
      </c>
      <c r="AB9" s="1558">
        <f>D9/H9</f>
        <v>1</v>
      </c>
      <c r="AC9" s="1558">
        <f>D9/J9</f>
        <v>1</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83" t="s">
        <v>533</v>
      </c>
      <c r="Q10" s="3384"/>
      <c r="R10" s="1555" t="s">
        <v>8</v>
      </c>
      <c r="S10" s="1556">
        <f t="shared" si="0"/>
        <v>100</v>
      </c>
      <c r="T10" s="1555" t="s">
        <v>8</v>
      </c>
      <c r="U10" s="1556">
        <f t="shared" si="1"/>
        <v>100</v>
      </c>
      <c r="V10" s="1555" t="s">
        <v>8</v>
      </c>
      <c r="W10" s="1556">
        <f t="shared" si="2"/>
        <v>100</v>
      </c>
      <c r="X10" s="1557"/>
      <c r="Y10" s="3383" t="s">
        <v>533</v>
      </c>
      <c r="Z10" s="3384"/>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52" t="s">
        <v>535</v>
      </c>
      <c r="Q11" s="1147" t="str">
        <f t="shared" ref="Q11:Q17" si="6">B11</f>
        <v>用途</v>
      </c>
      <c r="R11" s="1555" t="s">
        <v>8</v>
      </c>
      <c r="S11" s="1556">
        <f t="shared" si="0"/>
        <v>100</v>
      </c>
      <c r="T11" s="1555" t="s">
        <v>8</v>
      </c>
      <c r="U11" s="1556">
        <f t="shared" si="1"/>
        <v>100</v>
      </c>
      <c r="V11" s="1555" t="s">
        <v>8</v>
      </c>
      <c r="W11" s="1556">
        <f t="shared" si="2"/>
        <v>100</v>
      </c>
      <c r="X11" s="1557"/>
      <c r="Y11" s="3298"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52"/>
      <c r="Q12" s="1147" t="str">
        <f t="shared" si="6"/>
        <v>土地使用年限（年）</v>
      </c>
      <c r="R12" s="1555" t="s">
        <v>8</v>
      </c>
      <c r="S12" s="1556">
        <f t="shared" si="0"/>
        <v>100</v>
      </c>
      <c r="T12" s="1555" t="s">
        <v>8</v>
      </c>
      <c r="U12" s="1556">
        <f t="shared" si="1"/>
        <v>100</v>
      </c>
      <c r="V12" s="1555" t="s">
        <v>8</v>
      </c>
      <c r="W12" s="1556">
        <f t="shared" si="2"/>
        <v>100</v>
      </c>
      <c r="X12" s="1557"/>
      <c r="Y12" s="3298"/>
      <c r="Z12" s="1146" t="str">
        <f t="shared" si="7"/>
        <v>土地使用年限（年）</v>
      </c>
      <c r="AA12" s="1558">
        <f t="shared" si="3"/>
        <v>1</v>
      </c>
      <c r="AB12" s="1558">
        <f t="shared" si="4"/>
        <v>1</v>
      </c>
      <c r="AC12" s="1558">
        <f t="shared" si="5"/>
        <v>1</v>
      </c>
    </row>
    <row r="13" spans="1:30" ht="20.25">
      <c r="A13" s="2872"/>
      <c r="B13" s="2876" t="s">
        <v>2758</v>
      </c>
      <c r="C13" s="534">
        <v>1.25</v>
      </c>
      <c r="D13" s="255">
        <v>100</v>
      </c>
      <c r="E13" s="533"/>
      <c r="F13" s="255">
        <f>LOOKUP(E13,82:82,83:83)-LOOKUP(C13,82:82,83:83)+100</f>
        <v>100</v>
      </c>
      <c r="G13" s="534"/>
      <c r="H13" s="255">
        <f>LOOKUP(G13,82:82,83:83)-LOOKUP(C13,82:82,83:83)+100</f>
        <v>100</v>
      </c>
      <c r="I13" s="533"/>
      <c r="J13" s="255">
        <f>LOOKUP(I13,82:82,83:83)-LOOKUP(C13,82:82,83:83)+100</f>
        <v>100</v>
      </c>
      <c r="K13" s="535"/>
      <c r="L13" s="2126"/>
      <c r="M13" s="2118"/>
      <c r="N13" s="2118"/>
      <c r="O13" s="2127"/>
      <c r="P13" s="3352"/>
      <c r="Q13" s="1147" t="str">
        <f t="shared" si="6"/>
        <v>容积率</v>
      </c>
      <c r="R13" s="1555" t="s">
        <v>8</v>
      </c>
      <c r="S13" s="1556">
        <f t="shared" si="0"/>
        <v>100</v>
      </c>
      <c r="T13" s="1555" t="s">
        <v>8</v>
      </c>
      <c r="U13" s="1556">
        <f t="shared" si="1"/>
        <v>100</v>
      </c>
      <c r="V13" s="1555" t="s">
        <v>8</v>
      </c>
      <c r="W13" s="1556">
        <f t="shared" si="2"/>
        <v>100</v>
      </c>
      <c r="X13" s="1557"/>
      <c r="Y13" s="3298"/>
      <c r="Z13" s="1146" t="str">
        <f t="shared" si="7"/>
        <v>容积率</v>
      </c>
      <c r="AA13" s="1558">
        <f t="shared" si="3"/>
        <v>1</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2"/>
      <c r="Q14" s="1147" t="str">
        <f t="shared" si="6"/>
        <v>配建</v>
      </c>
      <c r="R14" s="1555" t="s">
        <v>8</v>
      </c>
      <c r="S14" s="1556">
        <f t="shared" si="0"/>
        <v>100</v>
      </c>
      <c r="T14" s="1555" t="s">
        <v>8</v>
      </c>
      <c r="U14" s="1556">
        <f t="shared" si="1"/>
        <v>100</v>
      </c>
      <c r="V14" s="1555" t="s">
        <v>8</v>
      </c>
      <c r="W14" s="1556">
        <f t="shared" si="2"/>
        <v>100</v>
      </c>
      <c r="X14" s="1557"/>
      <c r="Y14" s="329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2"/>
      <c r="Q15" s="1147">
        <f t="shared" si="6"/>
        <v>111</v>
      </c>
      <c r="R15" s="1555" t="s">
        <v>8</v>
      </c>
      <c r="S15" s="1556">
        <f t="shared" si="0"/>
        <v>100</v>
      </c>
      <c r="T15" s="1555" t="s">
        <v>8</v>
      </c>
      <c r="U15" s="1556">
        <f t="shared" si="1"/>
        <v>100</v>
      </c>
      <c r="V15" s="1555" t="s">
        <v>8</v>
      </c>
      <c r="W15" s="1556">
        <f t="shared" si="2"/>
        <v>100</v>
      </c>
      <c r="X15" s="1557"/>
      <c r="Y15" s="329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2"/>
      <c r="Q16" s="1147">
        <f t="shared" si="6"/>
        <v>111</v>
      </c>
      <c r="R16" s="1555" t="s">
        <v>8</v>
      </c>
      <c r="S16" s="1556">
        <f t="shared" si="0"/>
        <v>100</v>
      </c>
      <c r="T16" s="1555" t="s">
        <v>8</v>
      </c>
      <c r="U16" s="1556">
        <f t="shared" si="1"/>
        <v>100</v>
      </c>
      <c r="V16" s="1555" t="s">
        <v>8</v>
      </c>
      <c r="W16" s="1556">
        <f t="shared" si="2"/>
        <v>100</v>
      </c>
      <c r="X16" s="1557"/>
      <c r="Y16" s="3298"/>
      <c r="Z16" s="1146">
        <f t="shared" si="7"/>
        <v>111</v>
      </c>
      <c r="AA16" s="1558">
        <f>D16/F16</f>
        <v>1</v>
      </c>
      <c r="AB16" s="1558">
        <f>D16/H16</f>
        <v>1</v>
      </c>
      <c r="AC16" s="1558">
        <f>D16/J16</f>
        <v>1</v>
      </c>
    </row>
    <row r="17" spans="1:29" ht="99.75">
      <c r="A17" s="2866" t="s">
        <v>2754</v>
      </c>
      <c r="B17" s="578" t="s">
        <v>295</v>
      </c>
      <c r="C17" s="548" t="str">
        <f>估价对象房地状况!C15</f>
        <v>较差</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86" t="s">
        <v>540</v>
      </c>
      <c r="Q17" s="1559" t="str">
        <f t="shared" si="6"/>
        <v>居住社区成熟度</v>
      </c>
      <c r="R17" s="1560" t="s">
        <v>8</v>
      </c>
      <c r="S17" s="1561">
        <f t="shared" si="0"/>
        <v>100</v>
      </c>
      <c r="T17" s="1560" t="s">
        <v>8</v>
      </c>
      <c r="U17" s="1561">
        <f t="shared" si="1"/>
        <v>100</v>
      </c>
      <c r="V17" s="1560" t="s">
        <v>8</v>
      </c>
      <c r="W17" s="1561">
        <f t="shared" si="2"/>
        <v>100</v>
      </c>
      <c r="X17" s="1554"/>
      <c r="Y17" s="338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87"/>
      <c r="Q18" s="1559"/>
      <c r="R18" s="1560"/>
      <c r="S18" s="1561"/>
      <c r="T18" s="1560"/>
      <c r="U18" s="1561"/>
      <c r="V18" s="1560"/>
      <c r="W18" s="1561"/>
      <c r="X18" s="1554"/>
      <c r="Y18" s="3387"/>
      <c r="Z18" s="1562"/>
      <c r="AA18" s="1563">
        <v>1</v>
      </c>
      <c r="AB18" s="1563">
        <v>1</v>
      </c>
      <c r="AC18" s="1563">
        <v>1</v>
      </c>
    </row>
    <row r="19" spans="1:29" ht="71.25">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87"/>
      <c r="Q19" s="1559" t="str">
        <f>B19</f>
        <v>商业繁华度</v>
      </c>
      <c r="R19" s="1560" t="s">
        <v>8</v>
      </c>
      <c r="S19" s="1561">
        <f>F19</f>
        <v>100</v>
      </c>
      <c r="T19" s="1560" t="s">
        <v>8</v>
      </c>
      <c r="U19" s="1561">
        <f>H19</f>
        <v>100</v>
      </c>
      <c r="V19" s="1560" t="s">
        <v>8</v>
      </c>
      <c r="W19" s="1561">
        <f>J19</f>
        <v>100</v>
      </c>
      <c r="X19" s="1554"/>
      <c r="Y19" s="338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87"/>
      <c r="Q20" s="1559"/>
      <c r="R20" s="1560"/>
      <c r="S20" s="1561"/>
      <c r="T20" s="1560"/>
      <c r="U20" s="1561"/>
      <c r="V20" s="1560"/>
      <c r="W20" s="1561"/>
      <c r="X20" s="1554"/>
      <c r="Y20" s="3387"/>
      <c r="Z20" s="1562"/>
      <c r="AA20" s="1563">
        <v>1</v>
      </c>
      <c r="AB20" s="1563">
        <v>1</v>
      </c>
      <c r="AC20" s="1563">
        <v>1</v>
      </c>
    </row>
    <row r="21" spans="1:29" ht="71.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7"/>
      <c r="Q21" s="1559" t="str">
        <f>B21</f>
        <v>办公集聚程度</v>
      </c>
      <c r="R21" s="1560" t="s">
        <v>8</v>
      </c>
      <c r="S21" s="1561">
        <f>F21</f>
        <v>100</v>
      </c>
      <c r="T21" s="1560" t="s">
        <v>8</v>
      </c>
      <c r="U21" s="1561">
        <f>H21</f>
        <v>100</v>
      </c>
      <c r="V21" s="1560" t="s">
        <v>8</v>
      </c>
      <c r="W21" s="1561">
        <f>J21</f>
        <v>100</v>
      </c>
      <c r="X21" s="1554"/>
      <c r="Y21" s="338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7"/>
      <c r="Q22" s="1559"/>
      <c r="R22" s="1560"/>
      <c r="S22" s="1561"/>
      <c r="T22" s="1560"/>
      <c r="U22" s="1561"/>
      <c r="V22" s="1560"/>
      <c r="W22" s="1561"/>
      <c r="X22" s="1554"/>
      <c r="Y22" s="3387"/>
      <c r="Z22" s="1562"/>
      <c r="AA22" s="1563">
        <v>1</v>
      </c>
      <c r="AB22" s="1563">
        <v>1</v>
      </c>
      <c r="AC22" s="1563">
        <v>1</v>
      </c>
    </row>
    <row r="23" spans="1:29" ht="85.5">
      <c r="A23" s="532"/>
      <c r="B23" s="560" t="s">
        <v>543</v>
      </c>
      <c r="C23" s="573" t="str">
        <f>估价对象房地状况!C18</f>
        <v>较差</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87"/>
      <c r="Q23" s="1559" t="str">
        <f>B23</f>
        <v>交通便捷度</v>
      </c>
      <c r="R23" s="1560" t="s">
        <v>8</v>
      </c>
      <c r="S23" s="1561">
        <f>F23</f>
        <v>100</v>
      </c>
      <c r="T23" s="1560" t="s">
        <v>8</v>
      </c>
      <c r="U23" s="1561">
        <f>H23</f>
        <v>100</v>
      </c>
      <c r="V23" s="1560" t="s">
        <v>8</v>
      </c>
      <c r="W23" s="1561">
        <f>J23</f>
        <v>100</v>
      </c>
      <c r="X23" s="1554"/>
      <c r="Y23" s="338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87"/>
      <c r="Q24" s="1559"/>
      <c r="R24" s="1560"/>
      <c r="S24" s="1561"/>
      <c r="T24" s="1560"/>
      <c r="U24" s="1561"/>
      <c r="V24" s="1560"/>
      <c r="W24" s="1561"/>
      <c r="X24" s="1554"/>
      <c r="Y24" s="3387"/>
      <c r="Z24" s="1562"/>
      <c r="AA24" s="1563">
        <v>1</v>
      </c>
      <c r="AB24" s="1563">
        <v>1</v>
      </c>
      <c r="AC24" s="1563">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87"/>
      <c r="Q25" s="1559" t="str">
        <f t="shared" ref="Q25:Q39" si="8">B25</f>
        <v>区域土地利用方向</v>
      </c>
      <c r="R25" s="1560" t="s">
        <v>8</v>
      </c>
      <c r="S25" s="1561">
        <f>F25</f>
        <v>100</v>
      </c>
      <c r="T25" s="1560" t="s">
        <v>8</v>
      </c>
      <c r="U25" s="1561">
        <f>H25</f>
        <v>100</v>
      </c>
      <c r="V25" s="1560" t="s">
        <v>8</v>
      </c>
      <c r="W25" s="1561">
        <f>J25</f>
        <v>100</v>
      </c>
      <c r="X25" s="1554"/>
      <c r="Y25" s="338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87"/>
      <c r="Q26" s="1559"/>
      <c r="R26" s="1560"/>
      <c r="S26" s="1561"/>
      <c r="T26" s="1560"/>
      <c r="U26" s="1561"/>
      <c r="V26" s="1560"/>
      <c r="W26" s="1561"/>
      <c r="X26" s="1554"/>
      <c r="Y26" s="3387"/>
      <c r="Z26" s="1562"/>
      <c r="AA26" s="1563"/>
      <c r="AB26" s="1563"/>
      <c r="AC26" s="1563"/>
    </row>
    <row r="27" spans="1:29" ht="5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87"/>
      <c r="Q27" s="1559" t="str">
        <f t="shared" si="8"/>
        <v>自然及人文环境状况</v>
      </c>
      <c r="R27" s="1560" t="s">
        <v>8</v>
      </c>
      <c r="S27" s="1561">
        <f>F27</f>
        <v>100</v>
      </c>
      <c r="T27" s="1560" t="s">
        <v>8</v>
      </c>
      <c r="U27" s="1561">
        <f>H27</f>
        <v>100</v>
      </c>
      <c r="V27" s="1560" t="s">
        <v>8</v>
      </c>
      <c r="W27" s="1561">
        <f>J27</f>
        <v>100</v>
      </c>
      <c r="X27" s="1554"/>
      <c r="Y27" s="338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87"/>
      <c r="Q28" s="1559"/>
      <c r="R28" s="1560"/>
      <c r="S28" s="1561"/>
      <c r="T28" s="1560"/>
      <c r="U28" s="1561"/>
      <c r="V28" s="1560"/>
      <c r="W28" s="1561"/>
      <c r="X28" s="1554"/>
      <c r="Y28" s="3387"/>
      <c r="Z28" s="1562"/>
      <c r="AA28" s="1563">
        <v>1</v>
      </c>
      <c r="AB28" s="1563">
        <v>1</v>
      </c>
      <c r="AC28" s="1563">
        <v>1</v>
      </c>
    </row>
    <row r="29" spans="1:29" s="1216" customFormat="1" ht="42.75">
      <c r="A29" s="577"/>
      <c r="B29" s="2556" t="s">
        <v>2548</v>
      </c>
      <c r="C29" s="573" t="str">
        <f>估价对象房地状况!C21</f>
        <v>较差</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87"/>
      <c r="Q29" s="1147" t="str">
        <f t="shared" si="8"/>
        <v>公共配套设施</v>
      </c>
      <c r="R29" s="1555" t="s">
        <v>8</v>
      </c>
      <c r="S29" s="1556">
        <f>F29</f>
        <v>100</v>
      </c>
      <c r="T29" s="1555" t="s">
        <v>8</v>
      </c>
      <c r="U29" s="1556">
        <f>H29</f>
        <v>100</v>
      </c>
      <c r="V29" s="1555" t="s">
        <v>8</v>
      </c>
      <c r="W29" s="1556">
        <f>J29</f>
        <v>100</v>
      </c>
      <c r="X29" s="1557"/>
      <c r="Y29" s="338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87"/>
      <c r="Q30" s="1147"/>
      <c r="R30" s="1555"/>
      <c r="S30" s="1556"/>
      <c r="T30" s="1555"/>
      <c r="U30" s="1556"/>
      <c r="V30" s="1555"/>
      <c r="W30" s="1556"/>
      <c r="X30" s="1557"/>
      <c r="Y30" s="3387"/>
      <c r="Z30" s="1146"/>
      <c r="AA30" s="1563">
        <v>1</v>
      </c>
      <c r="AB30" s="1563">
        <v>1</v>
      </c>
      <c r="AC30" s="1563">
        <v>1</v>
      </c>
    </row>
    <row r="31" spans="1:29" s="1216" customFormat="1" ht="28.5">
      <c r="A31" s="577"/>
      <c r="B31" s="2556"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7"/>
      <c r="Q31" s="2543" t="str">
        <f t="shared" ref="Q31" si="9">B31</f>
        <v>基础设施水平</v>
      </c>
      <c r="R31" s="1555" t="s">
        <v>8</v>
      </c>
      <c r="S31" s="1556">
        <f>F31</f>
        <v>100</v>
      </c>
      <c r="T31" s="1555" t="s">
        <v>8</v>
      </c>
      <c r="U31" s="1556">
        <f>H31</f>
        <v>100</v>
      </c>
      <c r="V31" s="1555" t="s">
        <v>8</v>
      </c>
      <c r="W31" s="1556">
        <f>J31</f>
        <v>100</v>
      </c>
      <c r="X31" s="1557"/>
      <c r="Y31" s="338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87"/>
      <c r="Q32" s="2543"/>
      <c r="R32" s="1555"/>
      <c r="S32" s="1556"/>
      <c r="T32" s="1555"/>
      <c r="U32" s="1556"/>
      <c r="V32" s="1555"/>
      <c r="W32" s="1556"/>
      <c r="X32" s="1557"/>
      <c r="Y32" s="338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7"/>
      <c r="Q34" s="1559" t="str">
        <f t="shared" si="8"/>
        <v>毗邻道路的类型与等级</v>
      </c>
      <c r="R34" s="1560" t="s">
        <v>8</v>
      </c>
      <c r="S34" s="1561">
        <f t="shared" si="10"/>
        <v>100</v>
      </c>
      <c r="T34" s="1560" t="s">
        <v>8</v>
      </c>
      <c r="U34" s="1561">
        <f t="shared" si="11"/>
        <v>100</v>
      </c>
      <c r="V34" s="1560" t="s">
        <v>8</v>
      </c>
      <c r="W34" s="1561">
        <f t="shared" si="12"/>
        <v>100</v>
      </c>
      <c r="X34" s="1554"/>
      <c r="Y34" s="338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87"/>
      <c r="Q35" s="1559"/>
      <c r="R35" s="1560"/>
      <c r="S35" s="1561"/>
      <c r="T35" s="1560"/>
      <c r="U35" s="1561"/>
      <c r="V35" s="1560"/>
      <c r="W35" s="1561"/>
      <c r="X35" s="1554"/>
      <c r="Y35" s="338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7"/>
      <c r="Q36" s="1559" t="str">
        <f t="shared" si="8"/>
        <v>土地级别</v>
      </c>
      <c r="R36" s="1560" t="s">
        <v>8</v>
      </c>
      <c r="S36" s="1561">
        <f t="shared" si="10"/>
        <v>100</v>
      </c>
      <c r="T36" s="1560" t="s">
        <v>8</v>
      </c>
      <c r="U36" s="1561">
        <f t="shared" si="11"/>
        <v>100</v>
      </c>
      <c r="V36" s="1560" t="s">
        <v>8</v>
      </c>
      <c r="W36" s="1561">
        <f t="shared" si="12"/>
        <v>100</v>
      </c>
      <c r="X36" s="1554"/>
      <c r="Y36" s="338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7"/>
      <c r="Q37" s="1559">
        <f t="shared" si="8"/>
        <v>111</v>
      </c>
      <c r="R37" s="1560" t="s">
        <v>8</v>
      </c>
      <c r="S37" s="1561">
        <f t="shared" si="10"/>
        <v>100</v>
      </c>
      <c r="T37" s="1560" t="s">
        <v>8</v>
      </c>
      <c r="U37" s="1561">
        <f t="shared" si="11"/>
        <v>100</v>
      </c>
      <c r="V37" s="1560" t="s">
        <v>8</v>
      </c>
      <c r="W37" s="1561">
        <f t="shared" si="12"/>
        <v>100</v>
      </c>
      <c r="X37" s="1554"/>
      <c r="Y37" s="338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8" t="s">
        <v>550</v>
      </c>
      <c r="Q38" s="1559">
        <f t="shared" si="8"/>
        <v>111</v>
      </c>
      <c r="R38" s="1560" t="s">
        <v>8</v>
      </c>
      <c r="S38" s="1561">
        <f t="shared" si="10"/>
        <v>100</v>
      </c>
      <c r="T38" s="1560" t="s">
        <v>8</v>
      </c>
      <c r="U38" s="1561">
        <f t="shared" si="11"/>
        <v>100</v>
      </c>
      <c r="V38" s="1560" t="s">
        <v>8</v>
      </c>
      <c r="W38" s="1561">
        <f t="shared" si="12"/>
        <v>100</v>
      </c>
      <c r="X38" s="1554"/>
      <c r="Y38" s="338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9"/>
      <c r="Q39" s="1559">
        <f t="shared" si="8"/>
        <v>111</v>
      </c>
      <c r="R39" s="1564" t="s">
        <v>8</v>
      </c>
      <c r="S39" s="1565">
        <f t="shared" si="10"/>
        <v>100</v>
      </c>
      <c r="T39" s="1564" t="s">
        <v>8</v>
      </c>
      <c r="U39" s="1565">
        <f t="shared" si="11"/>
        <v>100</v>
      </c>
      <c r="V39" s="1564" t="s">
        <v>8</v>
      </c>
      <c r="W39" s="1565">
        <f t="shared" si="12"/>
        <v>100</v>
      </c>
      <c r="X39" s="1566"/>
      <c r="Y39" s="3389"/>
      <c r="Z39" s="1567">
        <f t="shared" si="13"/>
        <v>111</v>
      </c>
      <c r="AA39" s="1563">
        <f t="shared" si="3"/>
        <v>1</v>
      </c>
      <c r="AB39" s="1563">
        <f t="shared" si="4"/>
        <v>1</v>
      </c>
      <c r="AC39" s="1563">
        <f t="shared" si="5"/>
        <v>1</v>
      </c>
    </row>
    <row r="40" spans="1:29" ht="20.25">
      <c r="A40" s="2863" t="s">
        <v>2755</v>
      </c>
      <c r="B40" s="595" t="s">
        <v>552</v>
      </c>
      <c r="C40" s="596"/>
      <c r="D40" s="597">
        <v>100</v>
      </c>
      <c r="E40" s="596"/>
      <c r="F40" s="597">
        <f>LOOKUP(E40,119:119,120:120)-LOOKUP(C40,119:119,120:120)+100</f>
        <v>100</v>
      </c>
      <c r="G40" s="596"/>
      <c r="H40" s="597">
        <f>LOOKUP(G40,119:119,120:120)-LOOKUP(C40,119:119,120:120)+100</f>
        <v>100</v>
      </c>
      <c r="I40" s="598"/>
      <c r="J40" s="597">
        <f>LOOKUP(I40,119:119,120:120)-LOOKUP(C40,119:119,120:120)+100</f>
        <v>100</v>
      </c>
      <c r="K40" s="581"/>
      <c r="L40" s="2128"/>
      <c r="M40" s="2118"/>
      <c r="N40" s="2118"/>
      <c r="O40" s="2127"/>
      <c r="P40" s="3389"/>
      <c r="Q40" s="1559" t="str">
        <f>B40</f>
        <v>宗地面积</v>
      </c>
      <c r="R40" s="1560" t="s">
        <v>8</v>
      </c>
      <c r="S40" s="1561">
        <f t="shared" si="10"/>
        <v>100</v>
      </c>
      <c r="T40" s="1560" t="s">
        <v>8</v>
      </c>
      <c r="U40" s="1561">
        <f t="shared" si="11"/>
        <v>100</v>
      </c>
      <c r="V40" s="1560" t="s">
        <v>8</v>
      </c>
      <c r="W40" s="1561">
        <f t="shared" si="12"/>
        <v>100</v>
      </c>
      <c r="X40" s="1554"/>
      <c r="Y40" s="3389"/>
      <c r="Z40" s="1562" t="str">
        <f t="shared" si="13"/>
        <v>宗地面积</v>
      </c>
      <c r="AA40" s="1563">
        <f t="shared" si="3"/>
        <v>1</v>
      </c>
      <c r="AB40" s="1563">
        <f t="shared" si="4"/>
        <v>1</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9"/>
      <c r="Q41" s="1559" t="str">
        <f t="shared" ref="Q41:Q47" si="14">B41</f>
        <v>宗地形状</v>
      </c>
      <c r="R41" s="1560" t="s">
        <v>8</v>
      </c>
      <c r="S41" s="1561">
        <f t="shared" si="10"/>
        <v>100</v>
      </c>
      <c r="T41" s="1560" t="s">
        <v>8</v>
      </c>
      <c r="U41" s="1561">
        <f t="shared" si="11"/>
        <v>100</v>
      </c>
      <c r="V41" s="1560" t="s">
        <v>8</v>
      </c>
      <c r="W41" s="1561">
        <f t="shared" si="12"/>
        <v>100</v>
      </c>
      <c r="X41" s="1554"/>
      <c r="Y41" s="338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9"/>
      <c r="Q42" s="1559" t="str">
        <f t="shared" si="14"/>
        <v>临街宽度及深度</v>
      </c>
      <c r="R42" s="1560" t="s">
        <v>8</v>
      </c>
      <c r="S42" s="1561">
        <f t="shared" si="10"/>
        <v>100</v>
      </c>
      <c r="T42" s="1560" t="s">
        <v>8</v>
      </c>
      <c r="U42" s="1561">
        <f t="shared" si="11"/>
        <v>100</v>
      </c>
      <c r="V42" s="1560" t="s">
        <v>8</v>
      </c>
      <c r="W42" s="1561">
        <f t="shared" si="12"/>
        <v>100</v>
      </c>
      <c r="X42" s="1554"/>
      <c r="Y42" s="338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9"/>
      <c r="Q43" s="1559" t="str">
        <f t="shared" si="14"/>
        <v>宗地开发程度</v>
      </c>
      <c r="R43" s="1555" t="s">
        <v>8</v>
      </c>
      <c r="S43" s="1556">
        <f t="shared" si="10"/>
        <v>100</v>
      </c>
      <c r="T43" s="1555" t="s">
        <v>8</v>
      </c>
      <c r="U43" s="1556">
        <f t="shared" si="11"/>
        <v>100</v>
      </c>
      <c r="V43" s="1555" t="s">
        <v>8</v>
      </c>
      <c r="W43" s="1556">
        <f t="shared" si="12"/>
        <v>100</v>
      </c>
      <c r="X43" s="1557"/>
      <c r="Y43" s="338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9" t="s">
        <v>550</v>
      </c>
      <c r="Q44" s="1559" t="str">
        <f t="shared" si="14"/>
        <v>工程地质条件</v>
      </c>
      <c r="R44" s="1560" t="s">
        <v>8</v>
      </c>
      <c r="S44" s="1561">
        <f t="shared" si="10"/>
        <v>100</v>
      </c>
      <c r="T44" s="1560" t="s">
        <v>8</v>
      </c>
      <c r="U44" s="1561">
        <f t="shared" si="11"/>
        <v>100</v>
      </c>
      <c r="V44" s="1560" t="s">
        <v>8</v>
      </c>
      <c r="W44" s="1561">
        <f t="shared" si="12"/>
        <v>100</v>
      </c>
      <c r="X44" s="1554"/>
      <c r="Y44" s="338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9"/>
      <c r="Q45" s="1559">
        <f t="shared" si="14"/>
        <v>111</v>
      </c>
      <c r="R45" s="1560" t="s">
        <v>8</v>
      </c>
      <c r="S45" s="1561">
        <f t="shared" si="10"/>
        <v>100</v>
      </c>
      <c r="T45" s="1560" t="s">
        <v>8</v>
      </c>
      <c r="U45" s="1561">
        <f t="shared" si="11"/>
        <v>100</v>
      </c>
      <c r="V45" s="1560" t="s">
        <v>8</v>
      </c>
      <c r="W45" s="1561">
        <f t="shared" si="12"/>
        <v>100</v>
      </c>
      <c r="X45" s="1554"/>
      <c r="Y45" s="338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9"/>
      <c r="Q46" s="1559">
        <f t="shared" si="14"/>
        <v>111</v>
      </c>
      <c r="R46" s="1560" t="s">
        <v>8</v>
      </c>
      <c r="S46" s="1561">
        <f t="shared" si="10"/>
        <v>100</v>
      </c>
      <c r="T46" s="1560" t="s">
        <v>8</v>
      </c>
      <c r="U46" s="1561">
        <f t="shared" si="11"/>
        <v>100</v>
      </c>
      <c r="V46" s="1560" t="s">
        <v>8</v>
      </c>
      <c r="W46" s="1561">
        <f t="shared" si="12"/>
        <v>100</v>
      </c>
      <c r="X46" s="1554"/>
      <c r="Y46" s="338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9"/>
      <c r="Q47" s="1559">
        <f t="shared" si="14"/>
        <v>111</v>
      </c>
      <c r="R47" s="1564" t="s">
        <v>8</v>
      </c>
      <c r="S47" s="1565">
        <f t="shared" si="10"/>
        <v>100</v>
      </c>
      <c r="T47" s="1564" t="s">
        <v>8</v>
      </c>
      <c r="U47" s="1565">
        <f t="shared" si="11"/>
        <v>100</v>
      </c>
      <c r="V47" s="1564" t="s">
        <v>8</v>
      </c>
      <c r="W47" s="1565">
        <f t="shared" si="12"/>
        <v>100</v>
      </c>
      <c r="X47" s="1566"/>
      <c r="Y47" s="3389"/>
      <c r="Z47" s="1567">
        <f t="shared" si="13"/>
        <v>111</v>
      </c>
      <c r="AA47" s="1563">
        <f t="shared" si="3"/>
        <v>1</v>
      </c>
      <c r="AB47" s="1563">
        <f t="shared" si="4"/>
        <v>1</v>
      </c>
      <c r="AC47" s="1563">
        <f t="shared" si="5"/>
        <v>1</v>
      </c>
    </row>
    <row r="48" spans="1:29" ht="20.25">
      <c r="A48" s="607" t="s">
        <v>556</v>
      </c>
      <c r="B48" s="608" t="s">
        <v>3014</v>
      </c>
      <c r="C48" s="609" t="s">
        <v>1</v>
      </c>
      <c r="D48" s="610"/>
      <c r="E48" s="611">
        <v>1100</v>
      </c>
      <c r="F48" s="612"/>
      <c r="G48" s="613">
        <v>1100</v>
      </c>
      <c r="H48" s="614"/>
      <c r="I48" s="611">
        <v>1000</v>
      </c>
      <c r="J48" s="614"/>
      <c r="K48" s="1336"/>
      <c r="L48" s="2130"/>
      <c r="M48" s="2118"/>
      <c r="N48" s="2118"/>
      <c r="O48" s="2131"/>
      <c r="P48" s="3352" t="str">
        <f>A48</f>
        <v>成交单价</v>
      </c>
      <c r="Q48" s="3352"/>
      <c r="R48" s="3353">
        <f>E48</f>
        <v>1100</v>
      </c>
      <c r="S48" s="3353"/>
      <c r="T48" s="3353">
        <f>G48</f>
        <v>1100</v>
      </c>
      <c r="U48" s="3353"/>
      <c r="V48" s="3353">
        <f>I48</f>
        <v>1000</v>
      </c>
      <c r="W48" s="3353"/>
      <c r="X48" s="1546"/>
      <c r="Y48" s="1568"/>
      <c r="Z48" s="1546"/>
      <c r="AA48" s="1546"/>
      <c r="AB48" s="1546"/>
      <c r="AC48" s="1546"/>
    </row>
    <row r="49" spans="1:29" ht="21" thickBot="1">
      <c r="A49" s="615" t="s">
        <v>2693</v>
      </c>
      <c r="B49" s="616"/>
      <c r="C49" s="617">
        <f>R50</f>
        <v>1067</v>
      </c>
      <c r="D49" s="618"/>
      <c r="E49" s="617">
        <f>R49</f>
        <v>1100</v>
      </c>
      <c r="F49" s="619"/>
      <c r="G49" s="620">
        <f>T49</f>
        <v>1100</v>
      </c>
      <c r="H49" s="618"/>
      <c r="I49" s="617">
        <f>V49</f>
        <v>1000</v>
      </c>
      <c r="J49" s="618"/>
      <c r="K49" s="1337"/>
      <c r="L49" s="2130"/>
      <c r="M49" s="2118"/>
      <c r="N49" s="2118"/>
      <c r="O49" s="2131"/>
      <c r="P49" s="3352" t="str">
        <f>A49</f>
        <v>比较价格（元/平方米）</v>
      </c>
      <c r="Q49" s="3352"/>
      <c r="R49" s="3354">
        <f>ROUND(PRODUCT(R48,AA9:AA47),0)</f>
        <v>1100</v>
      </c>
      <c r="S49" s="3354"/>
      <c r="T49" s="3354">
        <f>ROUND(PRODUCT(T48,AB9:AB47),0)</f>
        <v>1100</v>
      </c>
      <c r="U49" s="3354"/>
      <c r="V49" s="3354">
        <f>ROUND(PRODUCT(V48,AC9:AC47),0)</f>
        <v>1000</v>
      </c>
      <c r="W49" s="3354"/>
      <c r="X49" s="1546"/>
      <c r="Y49" s="1546"/>
      <c r="Z49" s="1546"/>
      <c r="AA49" s="1546"/>
      <c r="AB49" s="1546"/>
      <c r="AC49" s="1546"/>
    </row>
    <row r="50" spans="1:29" ht="21" thickBot="1">
      <c r="A50" s="621" t="s">
        <v>2927</v>
      </c>
      <c r="B50" s="622"/>
      <c r="C50" s="623">
        <f>R50</f>
        <v>1067</v>
      </c>
      <c r="D50" s="623"/>
      <c r="E50" s="623"/>
      <c r="F50" s="623"/>
      <c r="G50" s="623"/>
      <c r="H50" s="623"/>
      <c r="I50" s="623"/>
      <c r="J50" s="623"/>
      <c r="K50" s="1338"/>
      <c r="L50" s="2130"/>
      <c r="M50" s="2118"/>
      <c r="N50" s="2118"/>
      <c r="O50" s="2131"/>
      <c r="P50" s="3349" t="str">
        <f>A50</f>
        <v>估价对象XX用房的比较价格（楼面单价，元/平方米）</v>
      </c>
      <c r="Q50" s="3350"/>
      <c r="R50" s="3351">
        <f>ROUND(AVERAGE(R49:V49),0)</f>
        <v>1067</v>
      </c>
      <c r="S50" s="3351"/>
      <c r="T50" s="3351"/>
      <c r="U50" s="3351"/>
      <c r="V50" s="3351"/>
      <c r="W50" s="335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v>
      </c>
      <c r="F53" s="627" t="str">
        <f>IF(OR(E53&gt;=0.3,E53&lt;=-0.3),"超过30%","")</f>
        <v/>
      </c>
      <c r="G53" s="626">
        <f>IF(G48&lt;G49,G49/G48-1,G48/G49-1)</f>
        <v>0</v>
      </c>
      <c r="H53" s="627" t="str">
        <f>IF(OR(G53&gt;=0.3,G53&lt;=-0.3),"超过30%","")</f>
        <v/>
      </c>
      <c r="I53" s="626">
        <f>IF(I48&lt;I49,I49/I48-1,I48/I49-1)</f>
        <v>0</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v>
      </c>
      <c r="F54" s="627" t="str">
        <f>IF(OR(E54&gt;=0.2,E54&lt;=-0.2),"超过20%","")</f>
        <v/>
      </c>
      <c r="G54" s="626">
        <f>IF(G49&lt;I49,I49/G49-1,G49/I49-1)</f>
        <v>0.10000000000000009</v>
      </c>
      <c r="H54" s="627" t="str">
        <f>IF(OR(G54&gt;=0.2,G54&lt;=-0.2),"超过20%","")</f>
        <v/>
      </c>
      <c r="I54" s="626">
        <f>IF(I49&lt;E49,E49/I49-1,I49/E49-1)</f>
        <v>0.10000000000000009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0.10000000000000009</v>
      </c>
      <c r="H55" s="627" t="str">
        <f>IF(OR(G55&gt;=0.3,G55&lt;=-0.3),"超过30%","")</f>
        <v/>
      </c>
      <c r="I55" s="626">
        <f>IF(I48&lt;E48,E48/I48-1,I48/E48-1)</f>
        <v>0.10000000000000009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8" t="s">
        <v>2281</v>
      </c>
      <c r="H57" s="337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1067</v>
      </c>
      <c r="C58" s="635">
        <v>1</v>
      </c>
      <c r="D58" s="2214">
        <v>1</v>
      </c>
      <c r="E58" s="635">
        <f>'数据-汇总表'!E8+'数据-汇总表'!E9</f>
        <v>128228.57789</v>
      </c>
      <c r="F58" s="636">
        <f t="shared" ref="F58:F67" si="15">ROUND(B58*E58/10000,0)</f>
        <v>13682</v>
      </c>
      <c r="G58" s="3380"/>
      <c r="H58" s="338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128228.57789</v>
      </c>
      <c r="F68" s="644">
        <f>IF(B48="楼面地价",SUM(F58:F67),ROUND(C50*E68/10000,0))</f>
        <v>13682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2019-4-1</v>
      </c>
      <c r="D70" s="2755">
        <f>EDATE(C70,-3)</f>
        <v>43466</v>
      </c>
      <c r="E70" s="2755">
        <f t="shared" ref="E70:N70" si="18">EDATE(D70,-3)</f>
        <v>43374</v>
      </c>
      <c r="F70" s="2755">
        <f t="shared" si="18"/>
        <v>43282</v>
      </c>
      <c r="G70" s="2755">
        <f t="shared" si="18"/>
        <v>43191</v>
      </c>
      <c r="H70" s="2755">
        <f t="shared" si="18"/>
        <v>43101</v>
      </c>
      <c r="I70" s="2755">
        <f t="shared" si="18"/>
        <v>43009</v>
      </c>
      <c r="J70" s="2755">
        <f t="shared" si="18"/>
        <v>42917</v>
      </c>
      <c r="K70" s="2755">
        <f t="shared" si="18"/>
        <v>42826</v>
      </c>
      <c r="L70" s="2755">
        <f t="shared" si="18"/>
        <v>42736</v>
      </c>
      <c r="M70" s="2755">
        <f t="shared" si="18"/>
        <v>42644</v>
      </c>
      <c r="N70" s="2755">
        <f t="shared" si="18"/>
        <v>42552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0(含)-10000</v>
      </c>
      <c r="D118" s="704" t="str">
        <f t="shared" si="25"/>
        <v>10000(含)-50000</v>
      </c>
      <c r="E118" s="704" t="str">
        <f t="shared" si="25"/>
        <v>50000(含)-100000</v>
      </c>
      <c r="F118" s="704" t="str">
        <f t="shared" si="25"/>
        <v>100000(含)-200000</v>
      </c>
      <c r="G118" s="704" t="str">
        <f t="shared" si="25"/>
        <v>200000(含)-300000</v>
      </c>
      <c r="H118" s="704" t="str">
        <f t="shared" si="25"/>
        <v>300000(含)-400000</v>
      </c>
      <c r="I118" s="704" t="str">
        <f t="shared" si="25"/>
        <v>400000(含)-500000</v>
      </c>
      <c r="J118" s="3044" t="str">
        <f t="shared" si="25"/>
        <v>500000(含)-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50000</v>
      </c>
      <c r="F119" s="730">
        <v>100000</v>
      </c>
      <c r="G119" s="730">
        <v>200000</v>
      </c>
      <c r="H119" s="730">
        <v>300000</v>
      </c>
      <c r="I119" s="730">
        <v>400000</v>
      </c>
      <c r="J119" s="2332">
        <v>500000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C120+1</f>
        <v>101</v>
      </c>
      <c r="E120" s="726">
        <f t="shared" ref="E120:I120" si="26">D120+1</f>
        <v>102</v>
      </c>
      <c r="F120" s="726">
        <f t="shared" si="26"/>
        <v>103</v>
      </c>
      <c r="G120" s="726">
        <f t="shared" si="26"/>
        <v>104</v>
      </c>
      <c r="H120" s="726">
        <f t="shared" si="26"/>
        <v>105</v>
      </c>
      <c r="I120" s="726">
        <f t="shared" si="26"/>
        <v>106</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17" sqref="J17"/>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15404</v>
      </c>
      <c r="C2" s="2090"/>
      <c r="D2" s="2090"/>
      <c r="E2" s="2090"/>
      <c r="F2" s="2090"/>
      <c r="G2" s="2090"/>
      <c r="H2" s="2090"/>
      <c r="I2" s="2090"/>
      <c r="J2" s="2090"/>
      <c r="K2" s="2090"/>
    </row>
    <row r="3" spans="1:31" s="2027" customFormat="1" ht="18" customHeight="1">
      <c r="A3" s="2092" t="s">
        <v>1684</v>
      </c>
      <c r="B3" s="2093">
        <f ca="1">ROUND(B2*10000/IF(B1="",'数据-汇总表'!E3,INDIRECT("'数据-取费表'!K"&amp;$K$1)),0)</f>
        <v>1189</v>
      </c>
      <c r="C3" s="2090"/>
      <c r="D3" s="2090"/>
      <c r="E3" s="2090"/>
      <c r="F3" s="2090"/>
      <c r="G3" s="2090"/>
      <c r="H3" s="2090"/>
      <c r="I3" s="2090"/>
      <c r="J3" s="2090"/>
      <c r="K3" s="2090"/>
    </row>
    <row r="4" spans="1:31" s="2027" customFormat="1" ht="18" customHeight="1">
      <c r="A4" s="426" t="s">
        <v>468</v>
      </c>
      <c r="B4" s="427">
        <f ca="1">ROUND(B2*10000/IF(B1="",'数据-汇总表'!D3,INDIRECT("'数据-取费表'!R"&amp;$K$1)),0)</f>
        <v>1486</v>
      </c>
      <c r="C4" s="428"/>
      <c r="D4" s="422"/>
      <c r="E4" s="422"/>
      <c r="F4" s="422"/>
      <c r="G4" s="422"/>
      <c r="H4" s="422"/>
      <c r="I4" s="422"/>
      <c r="J4" s="422"/>
      <c r="K4" s="422"/>
    </row>
    <row r="5" spans="1:31" s="2027" customFormat="1" ht="18" customHeight="1" thickBot="1">
      <c r="A5" s="429"/>
      <c r="B5" s="430">
        <f ca="1">ROUND(B2/(IF(B1="",'数据-汇总表'!D3,INDIRECT("'数据-取费表'!R"&amp;$K$1))/666.67),0)</f>
        <v>99</v>
      </c>
      <c r="C5" s="431" t="s">
        <v>469</v>
      </c>
      <c r="D5" s="422"/>
      <c r="E5" s="422"/>
      <c r="F5" s="422"/>
      <c r="G5" s="422"/>
      <c r="H5" s="422"/>
      <c r="I5" s="422"/>
      <c r="J5" s="422"/>
      <c r="K5" s="422"/>
    </row>
    <row r="6" spans="1:31" s="2097" customFormat="1" ht="16.5" customHeight="1">
      <c r="A6" s="2784" t="s">
        <v>1842</v>
      </c>
      <c r="B6" s="2785"/>
      <c r="C6" s="2786">
        <f>SUM(C10:K10)</f>
        <v>64114</v>
      </c>
      <c r="D6" s="2785"/>
      <c r="E6" s="2785"/>
      <c r="F6" s="2785"/>
      <c r="G6" s="2785"/>
      <c r="H6" s="2785"/>
      <c r="I6" s="2785"/>
      <c r="J6" s="2785"/>
      <c r="K6" s="2787"/>
    </row>
    <row r="7" spans="1:31" s="2099" customFormat="1" ht="15">
      <c r="A7" s="2788" t="s">
        <v>470</v>
      </c>
      <c r="B7" s="2789" t="s">
        <v>471</v>
      </c>
      <c r="C7" s="436" t="s">
        <v>923</v>
      </c>
      <c r="D7" s="436" t="s">
        <v>2992</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5000</v>
      </c>
      <c r="D8" s="2790">
        <f>C8</f>
        <v>5000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115268.83789</v>
      </c>
      <c r="D9" s="441">
        <f>SUMIF('数据-汇总表'!$C19:$C33,'剩余法-待开发'!D7,'数据-汇总表'!$E19:$E33)</f>
        <v>12959.74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ROUND(C8*C9/10000,0)</f>
        <v>57634</v>
      </c>
      <c r="D10" s="2982">
        <f>ROUND(D8*D9/10000,0)</f>
        <v>6480</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24998</v>
      </c>
      <c r="D13" s="2800"/>
      <c r="E13" s="2801"/>
      <c r="F13" s="2802"/>
      <c r="G13" s="2768"/>
      <c r="H13" s="2769"/>
      <c r="I13" s="2769"/>
      <c r="J13" s="2769"/>
      <c r="K13" s="2770"/>
    </row>
    <row r="14" spans="1:31" s="2102" customFormat="1" ht="13.5" customHeight="1">
      <c r="A14" s="2798" t="s">
        <v>1849</v>
      </c>
      <c r="B14" s="2799" t="s">
        <v>480</v>
      </c>
      <c r="C14" s="53">
        <f ca="1">ROUND(C13*F14,0)</f>
        <v>750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1153</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2592</v>
      </c>
      <c r="D16" s="2800">
        <f ca="1">IF(B1="",'数据-汇总表'!E3,INDIRECT("'数据-取费表'!K"&amp;$K$1)+INDIRECT("'数据-取费表'!S"&amp;$K$1))</f>
        <v>129597.37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375</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29868</v>
      </c>
      <c r="D18" s="2809"/>
      <c r="E18" s="468"/>
      <c r="F18" s="468"/>
      <c r="G18" s="2772" t="s">
        <v>2430</v>
      </c>
      <c r="H18" s="2773"/>
      <c r="I18" s="2773"/>
      <c r="J18" s="2773"/>
      <c r="K18" s="2774"/>
    </row>
    <row r="19" spans="1:14" s="2102" customFormat="1" ht="13.5" customHeight="1">
      <c r="A19" s="2806" t="s">
        <v>1854</v>
      </c>
      <c r="B19" s="2807" t="s">
        <v>488</v>
      </c>
      <c r="C19" s="2764">
        <f ca="1">ROUND(D19*E19/10000,0)</f>
        <v>1944</v>
      </c>
      <c r="D19" s="2810">
        <f ca="1">D16</f>
        <v>129597.37</v>
      </c>
      <c r="E19" s="2764">
        <f>'数据-取费表'!B32</f>
        <v>150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2131</v>
      </c>
      <c r="D20" s="2810"/>
      <c r="E20" s="2764"/>
      <c r="F20" s="2811"/>
      <c r="G20" s="3040"/>
      <c r="H20" s="2766"/>
      <c r="I20" s="2767" t="s">
        <v>2651</v>
      </c>
      <c r="J20" s="2773"/>
      <c r="K20" s="2774"/>
    </row>
    <row r="21" spans="1:14" s="2102" customFormat="1" ht="13.5" customHeight="1">
      <c r="A21" s="2798" t="s">
        <v>1856</v>
      </c>
      <c r="B21" s="2799" t="s">
        <v>491</v>
      </c>
      <c r="C21" s="53">
        <f ca="1">ROUND(D21*E21/10000,0)</f>
        <v>1844</v>
      </c>
      <c r="D21" s="2800">
        <f ca="1">IF(B1="",'数据-汇总表'!E5,IF(INDIRECT("'数据-取费表'!c"&amp;$K$1)="住宅",INDIRECT("'数据-取费表'!k"&amp;$K$1),0))</f>
        <v>115268.83789</v>
      </c>
      <c r="E21" s="53">
        <f>'数据-取费表'!B27</f>
        <v>160</v>
      </c>
      <c r="F21" s="2803"/>
      <c r="G21" s="26"/>
      <c r="H21" s="51"/>
      <c r="I21" s="51"/>
      <c r="J21" s="51"/>
      <c r="K21" s="2775"/>
    </row>
    <row r="22" spans="1:14" s="2102" customFormat="1" ht="13.5" customHeight="1">
      <c r="A22" s="2798" t="s">
        <v>1857</v>
      </c>
      <c r="B22" s="2799" t="s">
        <v>492</v>
      </c>
      <c r="C22" s="53">
        <f ca="1">ROUND(D22*E22/10000,0)</f>
        <v>287</v>
      </c>
      <c r="D22" s="2800">
        <f ca="1">IF(B1="",'数据-汇总表'!E6,IF(INDIRECT("'数据-取费表'!c"&amp;$K$1)="住宅",INDIRECT("'数据-取费表'!s"&amp;$K$1),INDIRECT("'数据-取费表'!k"&amp;$K$1)+INDIRECT("'数据-取费表'!s"&amp;$K$1)))</f>
        <v>14328.53211</v>
      </c>
      <c r="E22" s="53">
        <f>'数据-取费表'!B28</f>
        <v>200</v>
      </c>
      <c r="F22" s="2803"/>
      <c r="G22" s="26"/>
      <c r="H22" s="51"/>
      <c r="I22" s="51"/>
      <c r="J22" s="51"/>
      <c r="K22" s="2775"/>
    </row>
    <row r="23" spans="1:14" s="2102" customFormat="1" ht="13.5" customHeight="1">
      <c r="A23" s="2806" t="s">
        <v>1858</v>
      </c>
      <c r="B23" s="2988" t="s">
        <v>2834</v>
      </c>
      <c r="C23" s="2808">
        <f ca="1">ROUND((C18+C19+C20)*F23,0)</f>
        <v>679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1282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1705</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1705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3419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41028</v>
      </c>
      <c r="D30" s="477">
        <f ca="1">C32</f>
        <v>0.12909999999999999</v>
      </c>
      <c r="E30" s="469" t="s">
        <v>495</v>
      </c>
      <c r="F30" s="471"/>
      <c r="G30" s="2776" t="s">
        <v>2964</v>
      </c>
      <c r="H30" s="2769"/>
      <c r="I30" s="2769"/>
      <c r="J30" s="2769"/>
      <c r="K30" s="2770"/>
    </row>
    <row r="31" spans="1:14" s="2106" customFormat="1" ht="13.5" customHeight="1">
      <c r="A31" s="803" t="s">
        <v>1856</v>
      </c>
      <c r="B31" s="2814"/>
      <c r="C31" s="450">
        <f ca="1">C18+C19+C20+C23+C24+C26+C29</f>
        <v>41028</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3949</v>
      </c>
      <c r="D33" s="467">
        <f ca="1">C34</f>
        <v>0.1132</v>
      </c>
      <c r="E33" s="469" t="s">
        <v>495</v>
      </c>
      <c r="F33" s="479">
        <f ca="1">IF(B1="",'数据-取费表'!Q16,INDIRECT("'数据-取费表'!q"&amp;$K$1))</f>
        <v>0.11</v>
      </c>
      <c r="G33" s="2772"/>
      <c r="H33" s="2773"/>
      <c r="I33" s="2773"/>
      <c r="J33" s="2773"/>
      <c r="K33" s="2774"/>
    </row>
    <row r="34" spans="1:11" s="2109" customFormat="1" ht="13.5" customHeight="1">
      <c r="A34" s="375" t="s">
        <v>1856</v>
      </c>
      <c r="B34" s="2819" t="s">
        <v>501</v>
      </c>
      <c r="C34" s="472">
        <f ca="1">ROUND((1+C25)*F33,4)</f>
        <v>0.1132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3949</v>
      </c>
      <c r="D35" s="1615"/>
      <c r="E35" s="2820"/>
      <c r="F35" s="1616"/>
      <c r="G35" s="2778"/>
      <c r="H35" s="2779"/>
      <c r="I35" s="2779"/>
      <c r="J35" s="2779"/>
      <c r="K35" s="2780"/>
    </row>
    <row r="36" spans="1:11" s="2071" customFormat="1" ht="13.5" customHeight="1" thickBot="1">
      <c r="A36" s="284" t="s">
        <v>1844</v>
      </c>
      <c r="B36" s="2782"/>
      <c r="C36" s="2821">
        <f ca="1">ROUND((C6-C30-C33)/(1+D30+D33),0)</f>
        <v>15404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4" t="str">
        <f>项目基本情况!B1</f>
        <v>山东省日照市东港区蓝色大道以北、海六路以西住宅、商业用地出让国有建设用地使用权抵押价格预评估</v>
      </c>
      <c r="C37" s="3184"/>
      <c r="D37" s="3184"/>
      <c r="E37" s="3184"/>
      <c r="F37" s="3184"/>
      <c r="G37" s="3184"/>
      <c r="H37" s="3184"/>
      <c r="I37" s="3184"/>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赵雯、崔锴</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24998</v>
      </c>
      <c r="D13" s="451"/>
      <c r="E13" s="365"/>
      <c r="F13" s="452"/>
      <c r="G13" s="444"/>
      <c r="H13" s="447"/>
      <c r="I13" s="447"/>
      <c r="J13" s="447"/>
      <c r="K13" s="448"/>
    </row>
    <row r="14" spans="1:41" s="2102" customFormat="1" ht="13.5" customHeight="1">
      <c r="A14" s="1619" t="s">
        <v>1849</v>
      </c>
      <c r="B14" s="449" t="s">
        <v>480</v>
      </c>
      <c r="C14" s="53">
        <f ca="1">ROUND(C13*F14,0)</f>
        <v>750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1153</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2592</v>
      </c>
      <c r="D16" s="451">
        <f ca="1">IF(B1="",'数据-汇总表'!E3,INDIRECT("'数据-取费表'!K"&amp;$K$1)+INDIRECT("'数据-取费表'!S"&amp;$K$1))</f>
        <v>129597.37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375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29868</v>
      </c>
      <c r="D18" s="461"/>
      <c r="E18" s="462"/>
      <c r="F18" s="462"/>
      <c r="G18" s="1323" t="s">
        <v>2432</v>
      </c>
      <c r="H18" s="447"/>
      <c r="I18" s="447"/>
      <c r="J18" s="447"/>
      <c r="K18" s="448"/>
    </row>
    <row r="19" spans="1:14" s="2105" customFormat="1" ht="13.5" customHeight="1">
      <c r="A19" s="1620" t="s">
        <v>1854</v>
      </c>
      <c r="B19" s="459" t="s">
        <v>493</v>
      </c>
      <c r="C19" s="460">
        <f ca="1">ROUND(C18*F19,0)</f>
        <v>597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1447</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1447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3351</v>
      </c>
      <c r="D24" s="489">
        <f ca="1">C26</f>
        <v>2.2000000000000001E-3</v>
      </c>
      <c r="E24" s="469" t="s">
        <v>507</v>
      </c>
      <c r="F24" s="479">
        <f ca="1">IF(B1="",'数据-取费表'!Q16,INDIRECT("'数据-取费表'!q"&amp;$K$1))</f>
        <v>0.11</v>
      </c>
      <c r="G24" s="444"/>
      <c r="H24" s="447"/>
      <c r="I24" s="447"/>
      <c r="J24" s="447"/>
      <c r="K24" s="448"/>
    </row>
    <row r="25" spans="1:14" s="2106" customFormat="1" ht="13.5" customHeight="1">
      <c r="A25" s="1619" t="s">
        <v>1848</v>
      </c>
      <c r="B25" s="1324" t="s">
        <v>2436</v>
      </c>
      <c r="C25" s="490">
        <f ca="1">ROUND((C18+C19)*F24,0)</f>
        <v>3351</v>
      </c>
      <c r="D25" s="472"/>
      <c r="E25" s="473"/>
      <c r="F25" s="480"/>
      <c r="G25" s="1322" t="s">
        <v>2433</v>
      </c>
      <c r="H25" s="457"/>
      <c r="I25" s="457"/>
      <c r="J25" s="457"/>
      <c r="K25" s="458"/>
    </row>
    <row r="26" spans="1:14" s="2106" customFormat="1" ht="13.5" customHeight="1">
      <c r="A26" s="1619" t="s">
        <v>1849</v>
      </c>
      <c r="B26" s="1324" t="s">
        <v>509</v>
      </c>
      <c r="C26" s="491">
        <f ca="1">ROUND(F20*F24,4)</f>
        <v>2.2000000000000001E-3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38184</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58" t="s">
        <v>522</v>
      </c>
      <c r="D6" s="3359"/>
      <c r="E6" s="3392" t="s">
        <v>523</v>
      </c>
      <c r="F6" s="3393"/>
      <c r="G6" s="3358" t="s">
        <v>524</v>
      </c>
      <c r="H6" s="3359"/>
      <c r="I6" s="3358" t="s">
        <v>525</v>
      </c>
      <c r="J6" s="3359"/>
      <c r="K6" s="514" t="s">
        <v>526</v>
      </c>
      <c r="L6" s="2119"/>
      <c r="M6" s="2120"/>
      <c r="N6" s="2120"/>
      <c r="O6" s="2120"/>
      <c r="P6" s="3360" t="s">
        <v>527</v>
      </c>
      <c r="Q6" s="3361"/>
      <c r="R6" s="3366" t="s">
        <v>523</v>
      </c>
      <c r="S6" s="3367"/>
      <c r="T6" s="3366" t="s">
        <v>524</v>
      </c>
      <c r="U6" s="3367"/>
      <c r="V6" s="3353" t="s">
        <v>525</v>
      </c>
      <c r="W6" s="3353"/>
      <c r="X6" s="1554"/>
      <c r="Y6" s="3366" t="s">
        <v>527</v>
      </c>
      <c r="Z6" s="3367"/>
      <c r="AA6" s="3355" t="s">
        <v>523</v>
      </c>
      <c r="AB6" s="3356" t="s">
        <v>524</v>
      </c>
      <c r="AC6" s="3355" t="s">
        <v>525</v>
      </c>
    </row>
    <row r="7" spans="1:29" ht="15">
      <c r="A7" s="515"/>
      <c r="B7" s="516"/>
      <c r="C7" s="3374" t="s">
        <v>2921</v>
      </c>
      <c r="D7" s="3375"/>
      <c r="E7" s="3394" t="s">
        <v>2922</v>
      </c>
      <c r="F7" s="3395"/>
      <c r="G7" s="3374" t="s">
        <v>2923</v>
      </c>
      <c r="H7" s="3375"/>
      <c r="I7" s="3374" t="s">
        <v>2924</v>
      </c>
      <c r="J7" s="3375"/>
      <c r="K7" s="514"/>
      <c r="L7" s="2119"/>
      <c r="M7" s="2120"/>
      <c r="N7" s="2120"/>
      <c r="O7" s="2120"/>
      <c r="P7" s="3362"/>
      <c r="Q7" s="3363"/>
      <c r="R7" s="3368"/>
      <c r="S7" s="3369"/>
      <c r="T7" s="3368"/>
      <c r="U7" s="3369"/>
      <c r="V7" s="3353"/>
      <c r="W7" s="3353"/>
      <c r="X7" s="1554"/>
      <c r="Y7" s="3368"/>
      <c r="Z7" s="3369"/>
      <c r="AA7" s="3356"/>
      <c r="AB7" s="3356"/>
      <c r="AC7" s="3356"/>
    </row>
    <row r="8" spans="1:29" ht="15.75" thickBot="1">
      <c r="A8" s="517"/>
      <c r="B8" s="518"/>
      <c r="C8" s="3372" t="s">
        <v>2925</v>
      </c>
      <c r="D8" s="3373"/>
      <c r="E8" s="3390" t="s">
        <v>2925</v>
      </c>
      <c r="F8" s="3391"/>
      <c r="G8" s="3372" t="s">
        <v>2925</v>
      </c>
      <c r="H8" s="3373"/>
      <c r="I8" s="3372" t="s">
        <v>2925</v>
      </c>
      <c r="J8" s="3373"/>
      <c r="K8" s="514" t="s">
        <v>528</v>
      </c>
      <c r="L8" s="2119"/>
      <c r="M8" s="2120"/>
      <c r="N8" s="2120"/>
      <c r="O8" s="2120"/>
      <c r="P8" s="3364"/>
      <c r="Q8" s="3365"/>
      <c r="R8" s="3368"/>
      <c r="S8" s="3369"/>
      <c r="T8" s="3370"/>
      <c r="U8" s="3371"/>
      <c r="V8" s="3353"/>
      <c r="W8" s="3353"/>
      <c r="X8" s="1554"/>
      <c r="Y8" s="3370"/>
      <c r="Z8" s="3371"/>
      <c r="AA8" s="3357"/>
      <c r="AB8" s="3357"/>
      <c r="AC8" s="3357"/>
    </row>
    <row r="9" spans="1:29" s="1216" customFormat="1" ht="15.75" thickBot="1">
      <c r="A9" s="2868"/>
      <c r="B9" s="2875" t="s">
        <v>529</v>
      </c>
      <c r="C9" s="519">
        <f>'数据-取费表'!B2</f>
        <v>43559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3" t="s">
        <v>530</v>
      </c>
      <c r="Q9" s="3385"/>
      <c r="R9" s="1555" t="s">
        <v>8</v>
      </c>
      <c r="S9" s="1556">
        <f t="shared" ref="S9:S17" si="0">F9</f>
        <v>0</v>
      </c>
      <c r="T9" s="1555" t="s">
        <v>8</v>
      </c>
      <c r="U9" s="1556">
        <f t="shared" ref="U9:U17" si="1">H9</f>
        <v>0</v>
      </c>
      <c r="V9" s="1555" t="s">
        <v>8</v>
      </c>
      <c r="W9" s="1556">
        <f t="shared" ref="W9:W17" si="2">J9</f>
        <v>0</v>
      </c>
      <c r="X9" s="1557"/>
      <c r="Y9" s="3383" t="s">
        <v>530</v>
      </c>
      <c r="Z9" s="338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3" t="s">
        <v>533</v>
      </c>
      <c r="Q10" s="3384"/>
      <c r="R10" s="1555" t="s">
        <v>8</v>
      </c>
      <c r="S10" s="1556">
        <f t="shared" si="0"/>
        <v>0</v>
      </c>
      <c r="T10" s="1555" t="s">
        <v>8</v>
      </c>
      <c r="U10" s="1556">
        <f t="shared" si="1"/>
        <v>0</v>
      </c>
      <c r="V10" s="1555" t="s">
        <v>8</v>
      </c>
      <c r="W10" s="1556">
        <f t="shared" si="2"/>
        <v>0</v>
      </c>
      <c r="X10" s="1557"/>
      <c r="Y10" s="3383" t="s">
        <v>533</v>
      </c>
      <c r="Z10" s="3384"/>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2" t="s">
        <v>535</v>
      </c>
      <c r="Q11" s="1147" t="str">
        <f t="shared" ref="Q11:Q17" si="6">B11</f>
        <v>用途</v>
      </c>
      <c r="R11" s="1555" t="s">
        <v>8</v>
      </c>
      <c r="S11" s="1556">
        <f t="shared" si="0"/>
        <v>100</v>
      </c>
      <c r="T11" s="1555" t="s">
        <v>8</v>
      </c>
      <c r="U11" s="1556">
        <f t="shared" si="1"/>
        <v>100</v>
      </c>
      <c r="V11" s="1555" t="s">
        <v>8</v>
      </c>
      <c r="W11" s="1556">
        <f t="shared" si="2"/>
        <v>100</v>
      </c>
      <c r="X11" s="1557"/>
      <c r="Y11" s="3298"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52"/>
      <c r="Q12" s="1147" t="str">
        <f t="shared" si="6"/>
        <v>土地使用年限（年）</v>
      </c>
      <c r="R12" s="1555" t="s">
        <v>8</v>
      </c>
      <c r="S12" s="1556">
        <f t="shared" si="0"/>
        <v>100</v>
      </c>
      <c r="T12" s="1555" t="s">
        <v>8</v>
      </c>
      <c r="U12" s="1556">
        <f t="shared" si="1"/>
        <v>100</v>
      </c>
      <c r="V12" s="1555" t="s">
        <v>8</v>
      </c>
      <c r="W12" s="1556">
        <f t="shared" si="2"/>
        <v>100</v>
      </c>
      <c r="X12" s="1557"/>
      <c r="Y12" s="3298"/>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2"/>
      <c r="Q13" s="1147" t="str">
        <f t="shared" si="6"/>
        <v>容积率</v>
      </c>
      <c r="R13" s="1555" t="s">
        <v>8</v>
      </c>
      <c r="S13" s="1556" t="e">
        <f t="shared" si="0"/>
        <v>#N/A</v>
      </c>
      <c r="T13" s="1555" t="s">
        <v>8</v>
      </c>
      <c r="U13" s="1556" t="e">
        <f t="shared" si="1"/>
        <v>#N/A</v>
      </c>
      <c r="V13" s="1555" t="s">
        <v>8</v>
      </c>
      <c r="W13" s="1556" t="e">
        <f t="shared" si="2"/>
        <v>#N/A</v>
      </c>
      <c r="X13" s="1557"/>
      <c r="Y13" s="329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2"/>
      <c r="Q14" s="1147">
        <f t="shared" si="6"/>
        <v>111</v>
      </c>
      <c r="R14" s="1555" t="s">
        <v>8</v>
      </c>
      <c r="S14" s="1556">
        <f t="shared" si="0"/>
        <v>100</v>
      </c>
      <c r="T14" s="1555" t="s">
        <v>8</v>
      </c>
      <c r="U14" s="1556">
        <f t="shared" si="1"/>
        <v>100</v>
      </c>
      <c r="V14" s="1555" t="s">
        <v>8</v>
      </c>
      <c r="W14" s="1556">
        <f t="shared" si="2"/>
        <v>100</v>
      </c>
      <c r="X14" s="1557"/>
      <c r="Y14" s="329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2"/>
      <c r="Q15" s="1147">
        <f t="shared" si="6"/>
        <v>111</v>
      </c>
      <c r="R15" s="1555" t="s">
        <v>8</v>
      </c>
      <c r="S15" s="1556">
        <f t="shared" si="0"/>
        <v>100</v>
      </c>
      <c r="T15" s="1555" t="s">
        <v>8</v>
      </c>
      <c r="U15" s="1556">
        <f t="shared" si="1"/>
        <v>100</v>
      </c>
      <c r="V15" s="1555" t="s">
        <v>8</v>
      </c>
      <c r="W15" s="1556">
        <f t="shared" si="2"/>
        <v>100</v>
      </c>
      <c r="X15" s="1557"/>
      <c r="Y15" s="329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2"/>
      <c r="Q16" s="1147">
        <f t="shared" si="6"/>
        <v>111</v>
      </c>
      <c r="R16" s="1555" t="s">
        <v>8</v>
      </c>
      <c r="S16" s="1556">
        <f t="shared" si="0"/>
        <v>100</v>
      </c>
      <c r="T16" s="1555" t="s">
        <v>8</v>
      </c>
      <c r="U16" s="1556">
        <f t="shared" si="1"/>
        <v>100</v>
      </c>
      <c r="V16" s="1555" t="s">
        <v>8</v>
      </c>
      <c r="W16" s="1556">
        <f t="shared" si="2"/>
        <v>100</v>
      </c>
      <c r="X16" s="1557"/>
      <c r="Y16" s="3298"/>
      <c r="Z16" s="1146">
        <f t="shared" si="7"/>
        <v>111</v>
      </c>
      <c r="AA16" s="1558">
        <f t="shared" si="3"/>
        <v>1</v>
      </c>
      <c r="AB16" s="1558">
        <f t="shared" si="4"/>
        <v>1</v>
      </c>
      <c r="AC16" s="1558">
        <f t="shared" si="5"/>
        <v>1</v>
      </c>
    </row>
    <row r="17" spans="1:29" ht="57">
      <c r="A17" s="2866" t="s">
        <v>2754</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6" t="s">
        <v>540</v>
      </c>
      <c r="Q17" s="1559" t="str">
        <f t="shared" si="6"/>
        <v>产业集聚程度</v>
      </c>
      <c r="R17" s="1560" t="s">
        <v>8</v>
      </c>
      <c r="S17" s="1561">
        <f t="shared" si="0"/>
        <v>100</v>
      </c>
      <c r="T17" s="1560" t="s">
        <v>8</v>
      </c>
      <c r="U17" s="1561">
        <f t="shared" si="1"/>
        <v>100</v>
      </c>
      <c r="V17" s="1560" t="s">
        <v>8</v>
      </c>
      <c r="W17" s="1561">
        <f t="shared" si="2"/>
        <v>100</v>
      </c>
      <c r="X17" s="1554"/>
      <c r="Y17" s="338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7"/>
      <c r="Q18" s="1559"/>
      <c r="R18" s="1560"/>
      <c r="S18" s="1561"/>
      <c r="T18" s="1560"/>
      <c r="U18" s="1561"/>
      <c r="V18" s="1560"/>
      <c r="W18" s="1561"/>
      <c r="X18" s="1554"/>
      <c r="Y18" s="3387"/>
      <c r="Z18" s="1562"/>
      <c r="AA18" s="1563">
        <v>1</v>
      </c>
      <c r="AB18" s="1563">
        <v>1</v>
      </c>
      <c r="AC18" s="1563">
        <v>1</v>
      </c>
    </row>
    <row r="19" spans="1:29" ht="85.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7"/>
      <c r="Q19" s="1559" t="str">
        <f>B19</f>
        <v>交通便捷度</v>
      </c>
      <c r="R19" s="1560" t="s">
        <v>8</v>
      </c>
      <c r="S19" s="1561">
        <f>F19</f>
        <v>100</v>
      </c>
      <c r="T19" s="1560" t="s">
        <v>8</v>
      </c>
      <c r="U19" s="1561">
        <f>H19</f>
        <v>100</v>
      </c>
      <c r="V19" s="1560" t="s">
        <v>8</v>
      </c>
      <c r="W19" s="1561">
        <f>J19</f>
        <v>100</v>
      </c>
      <c r="X19" s="1554"/>
      <c r="Y19" s="338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7"/>
      <c r="Q20" s="1559"/>
      <c r="R20" s="1560"/>
      <c r="S20" s="1561"/>
      <c r="T20" s="1560"/>
      <c r="U20" s="1561"/>
      <c r="V20" s="1560"/>
      <c r="W20" s="1561"/>
      <c r="X20" s="1554"/>
      <c r="Y20" s="338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7"/>
      <c r="Q21" s="1559" t="str">
        <f t="shared" ref="Q21:Q35" si="8">B21</f>
        <v>区域土地利用方向</v>
      </c>
      <c r="R21" s="1560" t="s">
        <v>8</v>
      </c>
      <c r="S21" s="1561">
        <f>F21</f>
        <v>100</v>
      </c>
      <c r="T21" s="1560" t="s">
        <v>8</v>
      </c>
      <c r="U21" s="1561">
        <f>H21</f>
        <v>100</v>
      </c>
      <c r="V21" s="1560" t="s">
        <v>8</v>
      </c>
      <c r="W21" s="1561">
        <f>J21</f>
        <v>100</v>
      </c>
      <c r="X21" s="1554"/>
      <c r="Y21" s="338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7"/>
      <c r="Q22" s="1559"/>
      <c r="R22" s="1560"/>
      <c r="S22" s="1561"/>
      <c r="T22" s="1560"/>
      <c r="U22" s="1561"/>
      <c r="V22" s="1560"/>
      <c r="W22" s="1561"/>
      <c r="X22" s="1554"/>
      <c r="Y22" s="3387"/>
      <c r="Z22" s="1562"/>
      <c r="AA22" s="1563"/>
      <c r="AB22" s="1563"/>
      <c r="AC22" s="1563"/>
    </row>
    <row r="23" spans="1:29" ht="71.2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7"/>
      <c r="Q23" s="1559" t="str">
        <f t="shared" si="8"/>
        <v>环境状况</v>
      </c>
      <c r="R23" s="1560" t="s">
        <v>8</v>
      </c>
      <c r="S23" s="1561">
        <f>F23</f>
        <v>100</v>
      </c>
      <c r="T23" s="1560" t="s">
        <v>8</v>
      </c>
      <c r="U23" s="1561">
        <f>H23</f>
        <v>100</v>
      </c>
      <c r="V23" s="1560" t="s">
        <v>8</v>
      </c>
      <c r="W23" s="1561">
        <f>J23</f>
        <v>100</v>
      </c>
      <c r="X23" s="1554"/>
      <c r="Y23" s="338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7"/>
      <c r="Q24" s="1559"/>
      <c r="R24" s="1560"/>
      <c r="S24" s="1561"/>
      <c r="T24" s="1560"/>
      <c r="U24" s="1561"/>
      <c r="V24" s="1560"/>
      <c r="W24" s="1561"/>
      <c r="X24" s="1554"/>
      <c r="Y24" s="3387"/>
      <c r="Z24" s="1562"/>
      <c r="AA24" s="1563">
        <v>1</v>
      </c>
      <c r="AB24" s="1563">
        <v>1</v>
      </c>
      <c r="AC24" s="1563">
        <v>1</v>
      </c>
    </row>
    <row r="25" spans="1:29" s="1216" customFormat="1" ht="42.75">
      <c r="A25" s="577"/>
      <c r="B25" s="2558"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7"/>
      <c r="Q25" s="1147" t="str">
        <f t="shared" si="8"/>
        <v>公共配套设施</v>
      </c>
      <c r="R25" s="1555" t="s">
        <v>8</v>
      </c>
      <c r="S25" s="1556">
        <f>F25</f>
        <v>100</v>
      </c>
      <c r="T25" s="1555" t="s">
        <v>8</v>
      </c>
      <c r="U25" s="1556">
        <f>H25</f>
        <v>100</v>
      </c>
      <c r="V25" s="1555" t="s">
        <v>8</v>
      </c>
      <c r="W25" s="1556">
        <f>J25</f>
        <v>100</v>
      </c>
      <c r="X25" s="1557"/>
      <c r="Y25" s="338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7"/>
      <c r="Q26" s="1147"/>
      <c r="R26" s="1555"/>
      <c r="S26" s="1556"/>
      <c r="T26" s="1555"/>
      <c r="U26" s="1556"/>
      <c r="V26" s="1555"/>
      <c r="W26" s="1556"/>
      <c r="X26" s="1557"/>
      <c r="Y26" s="3387"/>
      <c r="Z26" s="1146"/>
      <c r="AA26" s="1558">
        <v>1</v>
      </c>
      <c r="AB26" s="1558">
        <v>1</v>
      </c>
      <c r="AC26" s="1558">
        <v>1</v>
      </c>
    </row>
    <row r="27" spans="1:29" s="1216" customFormat="1" ht="28.5">
      <c r="A27" s="577"/>
      <c r="B27" s="2558"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7"/>
      <c r="Q27" s="2543" t="str">
        <f t="shared" ref="Q27" si="9">B27</f>
        <v>基础设施水平</v>
      </c>
      <c r="R27" s="1555" t="s">
        <v>8</v>
      </c>
      <c r="S27" s="1556">
        <f>F27</f>
        <v>100</v>
      </c>
      <c r="T27" s="1555" t="s">
        <v>8</v>
      </c>
      <c r="U27" s="1556">
        <f>H27</f>
        <v>100</v>
      </c>
      <c r="V27" s="1555" t="s">
        <v>8</v>
      </c>
      <c r="W27" s="1556">
        <f>J27</f>
        <v>100</v>
      </c>
      <c r="X27" s="1557"/>
      <c r="Y27" s="338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7"/>
      <c r="Q28" s="2543"/>
      <c r="R28" s="1555"/>
      <c r="S28" s="1556"/>
      <c r="T28" s="1555"/>
      <c r="U28" s="1556"/>
      <c r="V28" s="1555"/>
      <c r="W28" s="1556"/>
      <c r="X28" s="1557"/>
      <c r="Y28" s="338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7"/>
      <c r="Q30" s="1559" t="str">
        <f t="shared" si="8"/>
        <v>毗邻道路的类型与等级</v>
      </c>
      <c r="R30" s="1560" t="s">
        <v>8</v>
      </c>
      <c r="S30" s="1561">
        <f t="shared" si="10"/>
        <v>100</v>
      </c>
      <c r="T30" s="1560" t="s">
        <v>8</v>
      </c>
      <c r="U30" s="1561">
        <f t="shared" si="11"/>
        <v>100</v>
      </c>
      <c r="V30" s="1560" t="s">
        <v>8</v>
      </c>
      <c r="W30" s="1561">
        <f t="shared" si="12"/>
        <v>100</v>
      </c>
      <c r="X30" s="1554"/>
      <c r="Y30" s="338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7"/>
      <c r="Q31" s="1559"/>
      <c r="R31" s="1560"/>
      <c r="S31" s="1561"/>
      <c r="T31" s="1560"/>
      <c r="U31" s="1561"/>
      <c r="V31" s="1560"/>
      <c r="W31" s="1561"/>
      <c r="X31" s="1554"/>
      <c r="Y31" s="338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7"/>
      <c r="Q32" s="1559" t="str">
        <f t="shared" si="8"/>
        <v>土地级别</v>
      </c>
      <c r="R32" s="1560" t="s">
        <v>8</v>
      </c>
      <c r="S32" s="1561">
        <f t="shared" si="10"/>
        <v>100</v>
      </c>
      <c r="T32" s="1560" t="s">
        <v>8</v>
      </c>
      <c r="U32" s="1561">
        <f t="shared" si="11"/>
        <v>100</v>
      </c>
      <c r="V32" s="1560" t="s">
        <v>8</v>
      </c>
      <c r="W32" s="1561">
        <f t="shared" si="12"/>
        <v>100</v>
      </c>
      <c r="X32" s="1554"/>
      <c r="Y32" s="338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7"/>
      <c r="Q33" s="1559">
        <f t="shared" si="8"/>
        <v>111</v>
      </c>
      <c r="R33" s="1560" t="s">
        <v>8</v>
      </c>
      <c r="S33" s="1561">
        <f t="shared" si="10"/>
        <v>100</v>
      </c>
      <c r="T33" s="1560" t="s">
        <v>8</v>
      </c>
      <c r="U33" s="1561">
        <f t="shared" si="11"/>
        <v>100</v>
      </c>
      <c r="V33" s="1560" t="s">
        <v>8</v>
      </c>
      <c r="W33" s="1561">
        <f t="shared" si="12"/>
        <v>100</v>
      </c>
      <c r="X33" s="1554"/>
      <c r="Y33" s="338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8" t="s">
        <v>550</v>
      </c>
      <c r="Q34" s="1559">
        <f t="shared" si="8"/>
        <v>111</v>
      </c>
      <c r="R34" s="1560" t="s">
        <v>8</v>
      </c>
      <c r="S34" s="1561">
        <f t="shared" si="10"/>
        <v>100</v>
      </c>
      <c r="T34" s="1560" t="s">
        <v>8</v>
      </c>
      <c r="U34" s="1561">
        <f t="shared" si="11"/>
        <v>100</v>
      </c>
      <c r="V34" s="1560" t="s">
        <v>8</v>
      </c>
      <c r="W34" s="1561">
        <f t="shared" si="12"/>
        <v>100</v>
      </c>
      <c r="X34" s="1554"/>
      <c r="Y34" s="338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9"/>
      <c r="Q35" s="1559">
        <f t="shared" si="8"/>
        <v>111</v>
      </c>
      <c r="R35" s="1564" t="s">
        <v>8</v>
      </c>
      <c r="S35" s="1565">
        <f t="shared" si="10"/>
        <v>100</v>
      </c>
      <c r="T35" s="1564" t="s">
        <v>8</v>
      </c>
      <c r="U35" s="1565">
        <f t="shared" si="11"/>
        <v>100</v>
      </c>
      <c r="V35" s="1564" t="s">
        <v>8</v>
      </c>
      <c r="W35" s="1565">
        <f t="shared" si="12"/>
        <v>100</v>
      </c>
      <c r="X35" s="1566"/>
      <c r="Y35" s="338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9"/>
      <c r="Q36" s="1559" t="str">
        <f>B36</f>
        <v>宗地面积</v>
      </c>
      <c r="R36" s="1560" t="s">
        <v>8</v>
      </c>
      <c r="S36" s="1561" t="e">
        <f t="shared" si="10"/>
        <v>#N/A</v>
      </c>
      <c r="T36" s="1560" t="s">
        <v>8</v>
      </c>
      <c r="U36" s="1561" t="e">
        <f t="shared" si="11"/>
        <v>#N/A</v>
      </c>
      <c r="V36" s="1560" t="s">
        <v>8</v>
      </c>
      <c r="W36" s="1561" t="e">
        <f t="shared" si="12"/>
        <v>#N/A</v>
      </c>
      <c r="X36" s="1554"/>
      <c r="Y36" s="338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9"/>
      <c r="Q37" s="1559" t="str">
        <f t="shared" ref="Q37:Q42" si="14">B37</f>
        <v>宗地形状</v>
      </c>
      <c r="R37" s="1560" t="s">
        <v>8</v>
      </c>
      <c r="S37" s="1561">
        <f t="shared" si="10"/>
        <v>100</v>
      </c>
      <c r="T37" s="1560" t="s">
        <v>8</v>
      </c>
      <c r="U37" s="1561">
        <f t="shared" si="11"/>
        <v>100</v>
      </c>
      <c r="V37" s="1560" t="s">
        <v>8</v>
      </c>
      <c r="W37" s="1561">
        <f t="shared" si="12"/>
        <v>100</v>
      </c>
      <c r="X37" s="1554"/>
      <c r="Y37" s="338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9"/>
      <c r="Q38" s="1559" t="str">
        <f t="shared" si="14"/>
        <v>宗地开发程度</v>
      </c>
      <c r="R38" s="1555" t="s">
        <v>8</v>
      </c>
      <c r="S38" s="1556">
        <f t="shared" si="10"/>
        <v>100</v>
      </c>
      <c r="T38" s="1555" t="s">
        <v>8</v>
      </c>
      <c r="U38" s="1556">
        <f t="shared" si="11"/>
        <v>100</v>
      </c>
      <c r="V38" s="1555" t="s">
        <v>8</v>
      </c>
      <c r="W38" s="1556">
        <f t="shared" si="12"/>
        <v>100</v>
      </c>
      <c r="X38" s="1557"/>
      <c r="Y38" s="338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9" t="s">
        <v>601</v>
      </c>
      <c r="Q39" s="1559" t="str">
        <f t="shared" si="14"/>
        <v>工程地质条件</v>
      </c>
      <c r="R39" s="1560" t="s">
        <v>8</v>
      </c>
      <c r="S39" s="1561">
        <f t="shared" si="10"/>
        <v>100</v>
      </c>
      <c r="T39" s="1560" t="s">
        <v>8</v>
      </c>
      <c r="U39" s="1561">
        <f t="shared" si="11"/>
        <v>100</v>
      </c>
      <c r="V39" s="1560" t="s">
        <v>8</v>
      </c>
      <c r="W39" s="1561">
        <f t="shared" si="12"/>
        <v>100</v>
      </c>
      <c r="X39" s="1554"/>
      <c r="Y39" s="338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9"/>
      <c r="Q40" s="1559">
        <f t="shared" si="14"/>
        <v>111</v>
      </c>
      <c r="R40" s="1560" t="s">
        <v>8</v>
      </c>
      <c r="S40" s="1561">
        <f t="shared" si="10"/>
        <v>100</v>
      </c>
      <c r="T40" s="1560" t="s">
        <v>8</v>
      </c>
      <c r="U40" s="1561">
        <f t="shared" si="11"/>
        <v>100</v>
      </c>
      <c r="V40" s="1560" t="s">
        <v>8</v>
      </c>
      <c r="W40" s="1561">
        <f t="shared" si="12"/>
        <v>100</v>
      </c>
      <c r="X40" s="1554"/>
      <c r="Y40" s="338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9"/>
      <c r="Q41" s="1559">
        <f t="shared" si="14"/>
        <v>111</v>
      </c>
      <c r="R41" s="1560" t="s">
        <v>8</v>
      </c>
      <c r="S41" s="1561">
        <f t="shared" si="10"/>
        <v>100</v>
      </c>
      <c r="T41" s="1560" t="s">
        <v>8</v>
      </c>
      <c r="U41" s="1561">
        <f t="shared" si="11"/>
        <v>100</v>
      </c>
      <c r="V41" s="1560" t="s">
        <v>8</v>
      </c>
      <c r="W41" s="1561">
        <f t="shared" si="12"/>
        <v>100</v>
      </c>
      <c r="X41" s="1554"/>
      <c r="Y41" s="338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9"/>
      <c r="Q42" s="1559">
        <f t="shared" si="14"/>
        <v>111</v>
      </c>
      <c r="R42" s="1564" t="s">
        <v>8</v>
      </c>
      <c r="S42" s="1565">
        <f t="shared" si="10"/>
        <v>100</v>
      </c>
      <c r="T42" s="1564" t="s">
        <v>8</v>
      </c>
      <c r="U42" s="1565">
        <f t="shared" si="11"/>
        <v>100</v>
      </c>
      <c r="V42" s="1564" t="s">
        <v>8</v>
      </c>
      <c r="W42" s="1565">
        <f t="shared" si="12"/>
        <v>100</v>
      </c>
      <c r="X42" s="1566"/>
      <c r="Y42" s="3389"/>
      <c r="Z42" s="1567">
        <f t="shared" si="13"/>
        <v>111</v>
      </c>
      <c r="AA42" s="1563">
        <f t="shared" si="3"/>
        <v>1</v>
      </c>
      <c r="AB42" s="1563">
        <f t="shared" si="4"/>
        <v>1</v>
      </c>
      <c r="AC42" s="1563">
        <f t="shared" si="5"/>
        <v>1</v>
      </c>
    </row>
    <row r="43" spans="1:29" ht="15">
      <c r="A43" s="607" t="s">
        <v>556</v>
      </c>
      <c r="B43" s="608" t="s">
        <v>2926</v>
      </c>
      <c r="C43" s="609" t="s">
        <v>1</v>
      </c>
      <c r="D43" s="610"/>
      <c r="E43" s="611"/>
      <c r="F43" s="612"/>
      <c r="G43" s="613"/>
      <c r="H43" s="614"/>
      <c r="I43" s="611"/>
      <c r="J43" s="614"/>
      <c r="K43" s="1336"/>
      <c r="L43" s="2130"/>
      <c r="M43" s="2120"/>
      <c r="N43" s="2120"/>
      <c r="O43" s="2131"/>
      <c r="P43" s="3352" t="str">
        <f>A43</f>
        <v>成交单价</v>
      </c>
      <c r="Q43" s="3352"/>
      <c r="R43" s="3353">
        <f>E43</f>
        <v>0</v>
      </c>
      <c r="S43" s="3353"/>
      <c r="T43" s="3353">
        <f>G43</f>
        <v>0</v>
      </c>
      <c r="U43" s="3353"/>
      <c r="V43" s="3353">
        <f>I43</f>
        <v>0</v>
      </c>
      <c r="W43" s="3353"/>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52" t="str">
        <f>A44</f>
        <v>比较价格（元/平方米）</v>
      </c>
      <c r="Q44" s="3352"/>
      <c r="R44" s="3354" t="e">
        <f>ROUND(PRODUCT(R43,AA9:AA42),0)</f>
        <v>#DIV/0!</v>
      </c>
      <c r="S44" s="3354"/>
      <c r="T44" s="3354" t="e">
        <f>ROUND(PRODUCT(T43,AB9:AB42),0)</f>
        <v>#DIV/0!</v>
      </c>
      <c r="U44" s="3354"/>
      <c r="V44" s="3354" t="e">
        <f>ROUND(PRODUCT(V43,AC9:AC42),0)</f>
        <v>#DIV/0!</v>
      </c>
      <c r="W44" s="3354"/>
      <c r="X44" s="1546"/>
      <c r="Y44" s="1546"/>
      <c r="Z44" s="1546"/>
      <c r="AA44" s="1546"/>
      <c r="AB44" s="1546"/>
      <c r="AC44" s="1546"/>
    </row>
    <row r="45" spans="1:29" ht="15.75" thickBot="1">
      <c r="A45" s="621" t="s">
        <v>2927</v>
      </c>
      <c r="B45" s="622"/>
      <c r="C45" s="623" t="e">
        <f>R45</f>
        <v>#DIV/0!</v>
      </c>
      <c r="D45" s="623"/>
      <c r="E45" s="623"/>
      <c r="F45" s="623"/>
      <c r="G45" s="623"/>
      <c r="H45" s="623"/>
      <c r="I45" s="623"/>
      <c r="J45" s="623"/>
      <c r="K45" s="1338"/>
      <c r="L45" s="2130"/>
      <c r="M45" s="2120"/>
      <c r="N45" s="2120"/>
      <c r="O45" s="2131"/>
      <c r="P45" s="3349" t="str">
        <f>A45</f>
        <v>估价对象XX用房的比较价格（楼面单价，元/平方米）</v>
      </c>
      <c r="Q45" s="3350"/>
      <c r="R45" s="3351" t="e">
        <f>ROUND(AVERAGE(R44:V44),0)</f>
        <v>#DIV/0!</v>
      </c>
      <c r="S45" s="3351"/>
      <c r="T45" s="3351"/>
      <c r="U45" s="3351"/>
      <c r="V45" s="3351"/>
      <c r="W45" s="335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6" t="s">
        <v>2284</v>
      </c>
      <c r="H52" s="3397"/>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128228.57789</v>
      </c>
      <c r="F53" s="1936" t="e">
        <f t="shared" ref="F53:F62" si="15">ROUND(B53*E53/10000,0)</f>
        <v>#DIV/0!</v>
      </c>
      <c r="G53" s="3398"/>
      <c r="H53" s="339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0"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103677.9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2019-4-1</v>
      </c>
      <c r="D65" s="2755">
        <f>EDATE(C65,-3)</f>
        <v>43466</v>
      </c>
      <c r="E65" s="2755">
        <f t="shared" ref="E65:N65" si="18">EDATE(D65,-3)</f>
        <v>43374</v>
      </c>
      <c r="F65" s="2755">
        <f t="shared" si="18"/>
        <v>43282</v>
      </c>
      <c r="G65" s="2755">
        <f t="shared" si="18"/>
        <v>43191</v>
      </c>
      <c r="H65" s="2755">
        <f t="shared" si="18"/>
        <v>43101</v>
      </c>
      <c r="I65" s="2755">
        <f t="shared" si="18"/>
        <v>43009</v>
      </c>
      <c r="J65" s="2755">
        <f t="shared" si="18"/>
        <v>42917</v>
      </c>
      <c r="K65" s="2755">
        <f t="shared" si="18"/>
        <v>42826</v>
      </c>
      <c r="L65" s="2755">
        <f t="shared" si="18"/>
        <v>42736</v>
      </c>
      <c r="M65" s="2755">
        <f t="shared" si="18"/>
        <v>42644</v>
      </c>
      <c r="N65" s="2755">
        <f t="shared" si="18"/>
        <v>42552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3"/>
      <c r="L4" s="1871" t="s">
        <v>2241</v>
      </c>
      <c r="M4" s="1872">
        <f>SUMPRODUCT((区片价!B49:B75=I2)*(区片价!C3:F3=E2)*(区片价!C49:F75))</f>
        <v>0</v>
      </c>
      <c r="N4" s="1873">
        <f>SUMPRODUCT((因素修正幅度!B49:B75=I2)*(因素修正幅度!C3:F3=E2)*(因素修正幅度!C49:F75))</f>
        <v>0</v>
      </c>
      <c r="O4" s="3153"/>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4"/>
      <c r="L5" s="1871" t="s">
        <v>2242</v>
      </c>
      <c r="M5" s="1872">
        <f>SUMPRODUCT((区片价!B76:B109=I2)*(区片价!C3:F3=E2)*(区片价!C76:F109))</f>
        <v>0</v>
      </c>
      <c r="N5" s="1873">
        <f>SUMPRODUCT((因素修正幅度!B76:B109=I2)*(因素修正幅度!C3:F3=E2)*(因素修正幅度!C76:F109))</f>
        <v>0</v>
      </c>
      <c r="O5" s="3154"/>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2"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13"/>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2" t="s">
        <v>2783</v>
      </c>
      <c r="X8" s="340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3"/>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1"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3"/>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3"/>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2"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4"/>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5"/>
      <c r="R13" s="2893">
        <v>12</v>
      </c>
      <c r="S13" s="2882"/>
      <c r="T13" s="2893" t="e">
        <f t="shared" si="0"/>
        <v>#DIV/0!</v>
      </c>
      <c r="U13" s="2882"/>
      <c r="V13" s="2893" t="e">
        <f t="shared" si="1"/>
        <v>#DIV/0!</v>
      </c>
      <c r="W13" s="340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4"/>
      <c r="B14" s="1448"/>
      <c r="C14" s="1449"/>
      <c r="D14" s="1450"/>
      <c r="E14" s="1450"/>
      <c r="F14" s="1451"/>
      <c r="G14" s="1452" t="s">
        <v>949</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5"/>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2" t="s">
        <v>1838</v>
      </c>
      <c r="B16" s="1424" t="s">
        <v>950</v>
      </c>
      <c r="C16" s="1052" t="e">
        <f>ROUND(IF(F17="与级别开发程度一致",0,(G17-E17)/C17),0)</f>
        <v>#DIV/0!</v>
      </c>
      <c r="D16" s="3409" t="s">
        <v>954</v>
      </c>
      <c r="E16" s="3410"/>
      <c r="F16" s="3409" t="s">
        <v>951</v>
      </c>
      <c r="G16" s="3410"/>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6"/>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5" t="s">
        <v>955</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43559</v>
      </c>
      <c r="H19" s="1464"/>
      <c r="I19" s="2741" t="str">
        <f>IF(H19="季度增幅（自定义）",SUMIF(N21:N24,E2,O21:O24),"")</f>
        <v/>
      </c>
      <c r="J19" s="1460"/>
      <c r="K19" s="3154"/>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6"/>
      <c r="L20" s="2995" t="s">
        <v>2842</v>
      </c>
      <c r="M20" s="3163">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4"/>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8"/>
      <c r="L24" s="1470"/>
      <c r="M24" s="1470"/>
      <c r="N24" s="1467" t="s">
        <v>981</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4" t="s">
        <v>2648</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9" t="s">
        <v>2953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0"/>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0"/>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1"/>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2980</v>
      </c>
      <c r="C41" s="839" t="e">
        <f>ROUND(POWER(1+E41,H41-G41)*(POWER(1+E41,G41)-1)/(POWER(1+E41,H41)-1),4)</f>
        <v>#DIV/0!</v>
      </c>
      <c r="D41" s="378" t="s">
        <v>2978</v>
      </c>
      <c r="E41" s="3149">
        <f>G20</f>
        <v>0</v>
      </c>
      <c r="F41" s="378" t="s">
        <v>2979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较差</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较差</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t="str">
        <f>估价对象房地状况!C19</f>
        <v>较好</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2929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2928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较差</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较差</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t="str">
        <f>估价对象房地状况!C19</f>
        <v>较好</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2930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2928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较差</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较差</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较差</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t="str">
        <f>估价对象房地状况!C19</f>
        <v>较好</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较差</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2928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f>估价对象房地状况!G15</f>
        <v>0</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f>估价对象房地状况!G16</f>
        <v>0</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f>估价对象房地状况!G19</f>
        <v>0</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f>估价对象房地状况!G20</f>
        <v>0</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2928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f>估价对象房地状况!G18</f>
        <v>0</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7" t="s">
        <v>1633</v>
      </c>
      <c r="B90" s="3417"/>
      <c r="C90" s="3417"/>
      <c r="D90" s="3417"/>
      <c r="E90" s="3417"/>
      <c r="F90" s="3417"/>
      <c r="G90" s="3417"/>
      <c r="H90" s="3417"/>
      <c r="I90" s="3417"/>
      <c r="J90" s="3417"/>
      <c r="K90" s="2415"/>
      <c r="L90" s="2415"/>
      <c r="M90" s="2415"/>
      <c r="N90" s="2415"/>
    </row>
    <row r="91" spans="1:40">
      <c r="A91" s="3418" t="s">
        <v>1443</v>
      </c>
      <c r="B91" s="3418" t="s">
        <v>1634</v>
      </c>
      <c r="C91" s="1136" t="s">
        <v>1635</v>
      </c>
      <c r="D91" s="1137"/>
      <c r="E91" s="1137"/>
      <c r="F91" s="1137"/>
      <c r="G91" s="1137"/>
      <c r="H91" s="1137"/>
      <c r="I91" s="1137"/>
      <c r="J91" s="1138"/>
      <c r="K91" s="1130"/>
      <c r="L91" s="1130"/>
      <c r="M91" s="1130"/>
      <c r="N91" s="1130"/>
    </row>
    <row r="92" spans="1:40">
      <c r="A92" s="3418"/>
      <c r="B92" s="3418"/>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0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0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0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0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0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0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0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0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0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0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0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0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0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0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0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05"/>
      <c r="B108" s="340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06"/>
      <c r="B109" s="340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1" t="s">
        <v>1639</v>
      </c>
      <c r="B110" s="3411"/>
      <c r="C110" s="3411"/>
      <c r="D110" s="3411"/>
      <c r="E110" s="3411"/>
      <c r="F110" s="3411"/>
      <c r="G110" s="3411"/>
      <c r="H110" s="3411"/>
      <c r="I110" s="3411"/>
      <c r="J110" s="3411"/>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2983</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8" t="s">
        <v>1007</v>
      </c>
      <c r="B18" s="1150" t="s">
        <v>1446</v>
      </c>
      <c r="C18" s="1127" t="s">
        <v>1447</v>
      </c>
      <c r="D18" s="1128"/>
      <c r="E18" s="1150">
        <v>1</v>
      </c>
      <c r="F18" s="1129" t="s">
        <v>1448</v>
      </c>
      <c r="G18" s="1130"/>
      <c r="H18" s="1101"/>
      <c r="I18" s="1101"/>
    </row>
    <row r="19" spans="1:9" s="1585" customFormat="1" ht="19.5" customHeight="1">
      <c r="A19" s="3418"/>
      <c r="B19" s="3418" t="s">
        <v>1449</v>
      </c>
      <c r="C19" s="1127" t="s">
        <v>1450</v>
      </c>
      <c r="D19" s="1128"/>
      <c r="E19" s="1150">
        <v>0.9</v>
      </c>
      <c r="F19" s="1129" t="s">
        <v>1451</v>
      </c>
      <c r="G19" s="1130"/>
      <c r="H19" s="1101"/>
      <c r="I19" s="1101"/>
    </row>
    <row r="20" spans="1:9" s="1585" customFormat="1" ht="19.5" customHeight="1">
      <c r="A20" s="3418"/>
      <c r="B20" s="3418"/>
      <c r="C20" s="1127" t="s">
        <v>1452</v>
      </c>
      <c r="D20" s="1128"/>
      <c r="E20" s="1150">
        <v>1.1000000000000001</v>
      </c>
      <c r="F20" s="1129" t="s">
        <v>1453</v>
      </c>
      <c r="G20" s="1130"/>
      <c r="H20" s="1101"/>
      <c r="I20" s="1101"/>
    </row>
    <row r="21" spans="1:9" s="1585" customFormat="1" ht="19.5" customHeight="1">
      <c r="A21" s="3418"/>
      <c r="B21" s="3418"/>
      <c r="C21" s="1127" t="s">
        <v>1454</v>
      </c>
      <c r="D21" s="1128"/>
      <c r="E21" s="1150">
        <v>0.8</v>
      </c>
      <c r="F21" s="1129" t="s">
        <v>1455</v>
      </c>
      <c r="G21" s="1130"/>
      <c r="H21" s="1101"/>
      <c r="I21" s="1101"/>
    </row>
    <row r="22" spans="1:9" s="1585" customFormat="1" ht="19.5" customHeight="1">
      <c r="A22" s="3418"/>
      <c r="B22" s="3418"/>
      <c r="C22" s="1127" t="s">
        <v>1456</v>
      </c>
      <c r="D22" s="1128"/>
      <c r="E22" s="1150">
        <v>0.5</v>
      </c>
      <c r="F22" s="1129"/>
      <c r="G22" s="1130"/>
      <c r="H22" s="1101"/>
      <c r="I22" s="1101"/>
    </row>
    <row r="23" spans="1:9" s="1585" customFormat="1" ht="19.5" customHeight="1">
      <c r="A23" s="3418" t="s">
        <v>1029</v>
      </c>
      <c r="B23" s="1150" t="s">
        <v>1446</v>
      </c>
      <c r="C23" s="1127" t="s">
        <v>1457</v>
      </c>
      <c r="D23" s="1128"/>
      <c r="E23" s="1150">
        <v>1</v>
      </c>
      <c r="F23" s="1129" t="s">
        <v>1458</v>
      </c>
      <c r="G23" s="1130"/>
      <c r="H23" s="1101"/>
      <c r="I23" s="1101"/>
    </row>
    <row r="24" spans="1:9" s="1585" customFormat="1" ht="19.5" customHeight="1">
      <c r="A24" s="3418"/>
      <c r="B24" s="3418" t="s">
        <v>1449</v>
      </c>
      <c r="C24" s="1127" t="s">
        <v>1459</v>
      </c>
      <c r="D24" s="1128"/>
      <c r="E24" s="1150">
        <v>0.5</v>
      </c>
      <c r="F24" s="1129"/>
      <c r="G24" s="1130"/>
      <c r="H24" s="1101"/>
      <c r="I24" s="1101"/>
    </row>
    <row r="25" spans="1:9" s="1585" customFormat="1" ht="19.5" customHeight="1">
      <c r="A25" s="3418"/>
      <c r="B25" s="3418"/>
      <c r="C25" s="1127" t="s">
        <v>1460</v>
      </c>
      <c r="D25" s="1128"/>
      <c r="E25" s="1150">
        <v>1.1000000000000001</v>
      </c>
      <c r="F25" s="1129"/>
      <c r="G25" s="1130"/>
      <c r="H25" s="1101"/>
      <c r="I25" s="1101"/>
    </row>
    <row r="26" spans="1:9" s="1585" customFormat="1" ht="19.5" customHeight="1">
      <c r="A26" s="3418"/>
      <c r="B26" s="3418"/>
      <c r="C26" s="1127" t="s">
        <v>1461</v>
      </c>
      <c r="D26" s="1128"/>
      <c r="E26" s="1150">
        <v>1.1000000000000001</v>
      </c>
      <c r="F26" s="1129"/>
      <c r="G26" s="1130"/>
      <c r="H26" s="1101"/>
      <c r="I26" s="1101"/>
    </row>
    <row r="27" spans="1:9" s="1585" customFormat="1" ht="19.5" customHeight="1">
      <c r="A27" s="3418"/>
      <c r="B27" s="3418"/>
      <c r="C27" s="1127" t="s">
        <v>1462</v>
      </c>
      <c r="D27" s="1128"/>
      <c r="E27" s="1150">
        <v>0.9</v>
      </c>
      <c r="F27" s="1129" t="s">
        <v>1463</v>
      </c>
      <c r="G27" s="1130"/>
      <c r="H27" s="1101"/>
      <c r="I27" s="1101"/>
    </row>
    <row r="28" spans="1:9" s="1585" customFormat="1" ht="19.5" customHeight="1">
      <c r="A28" s="3418"/>
      <c r="B28" s="3418"/>
      <c r="C28" s="1127" t="s">
        <v>1464</v>
      </c>
      <c r="D28" s="1128"/>
      <c r="E28" s="1150">
        <v>0.9</v>
      </c>
      <c r="F28" s="1129" t="s">
        <v>1465</v>
      </c>
      <c r="G28" s="1130"/>
      <c r="H28" s="1101"/>
      <c r="I28" s="1101"/>
    </row>
    <row r="29" spans="1:9" s="1585" customFormat="1" ht="19.5" customHeight="1">
      <c r="A29" s="3418"/>
      <c r="B29" s="3418"/>
      <c r="C29" s="1127" t="s">
        <v>1466</v>
      </c>
      <c r="D29" s="1128"/>
      <c r="E29" s="1150">
        <v>0.9</v>
      </c>
      <c r="F29" s="1129" t="s">
        <v>1467</v>
      </c>
      <c r="G29" s="1130"/>
      <c r="H29" s="1101"/>
      <c r="I29" s="1101"/>
    </row>
    <row r="30" spans="1:9" s="1585" customFormat="1" ht="19.5" customHeight="1">
      <c r="A30" s="3418"/>
      <c r="B30" s="3418"/>
      <c r="C30" s="1127" t="s">
        <v>1468</v>
      </c>
      <c r="D30" s="1128"/>
      <c r="E30" s="1150">
        <v>0.9</v>
      </c>
      <c r="F30" s="1129" t="s">
        <v>1469</v>
      </c>
      <c r="G30" s="1130"/>
      <c r="H30" s="1101"/>
      <c r="I30" s="1101"/>
    </row>
    <row r="31" spans="1:9" s="1585" customFormat="1" ht="19.5" customHeight="1">
      <c r="A31" s="3418"/>
      <c r="B31" s="3418"/>
      <c r="C31" s="1127" t="s">
        <v>1470</v>
      </c>
      <c r="D31" s="1128"/>
      <c r="E31" s="1150">
        <v>0.8</v>
      </c>
      <c r="F31" s="1129" t="s">
        <v>1471</v>
      </c>
      <c r="G31" s="1130"/>
      <c r="H31" s="1101"/>
      <c r="I31" s="1101"/>
    </row>
    <row r="32" spans="1:9" s="1585" customFormat="1" ht="19.5" customHeight="1">
      <c r="A32" s="3418"/>
      <c r="B32" s="3418"/>
      <c r="C32" s="1127" t="s">
        <v>1472</v>
      </c>
      <c r="D32" s="1128"/>
      <c r="E32" s="1150">
        <v>0.8</v>
      </c>
      <c r="F32" s="1129" t="s">
        <v>1473</v>
      </c>
      <c r="G32" s="1130"/>
      <c r="H32" s="1101"/>
      <c r="I32" s="1101"/>
    </row>
    <row r="33" spans="1:9" s="1585" customFormat="1" ht="19.5" customHeight="1">
      <c r="A33" s="3418" t="s">
        <v>1474</v>
      </c>
      <c r="B33" s="1150" t="s">
        <v>1446</v>
      </c>
      <c r="C33" s="1127" t="s">
        <v>1475</v>
      </c>
      <c r="D33" s="1128"/>
      <c r="E33" s="1150">
        <v>1</v>
      </c>
      <c r="F33" s="1129" t="s">
        <v>1476</v>
      </c>
      <c r="G33" s="1130"/>
      <c r="H33" s="1101"/>
      <c r="I33" s="1101"/>
    </row>
    <row r="34" spans="1:9" s="1585" customFormat="1" ht="19.5" customHeight="1">
      <c r="A34" s="3418"/>
      <c r="B34" s="1150" t="s">
        <v>1449</v>
      </c>
      <c r="C34" s="1127" t="s">
        <v>1477</v>
      </c>
      <c r="D34" s="1128"/>
      <c r="E34" s="1150">
        <v>1.5</v>
      </c>
      <c r="F34" s="1129" t="s">
        <v>1478</v>
      </c>
      <c r="G34" s="1130"/>
      <c r="H34" s="1101"/>
      <c r="I34" s="1101"/>
    </row>
    <row r="35" spans="1:9" s="1585" customFormat="1" ht="19.5" customHeight="1">
      <c r="A35" s="3418" t="s">
        <v>1432</v>
      </c>
      <c r="B35" s="1150" t="s">
        <v>1446</v>
      </c>
      <c r="C35" s="1127" t="s">
        <v>1479</v>
      </c>
      <c r="D35" s="1128"/>
      <c r="E35" s="1150">
        <v>1</v>
      </c>
      <c r="F35" s="1129" t="s">
        <v>1480</v>
      </c>
      <c r="G35" s="1130"/>
      <c r="H35" s="1101"/>
      <c r="I35" s="1101"/>
    </row>
    <row r="36" spans="1:9" s="1585" customFormat="1" ht="19.5" customHeight="1">
      <c r="A36" s="3418"/>
      <c r="B36" s="3418" t="s">
        <v>1449</v>
      </c>
      <c r="C36" s="1127" t="s">
        <v>1481</v>
      </c>
      <c r="D36" s="1128"/>
      <c r="E36" s="1150">
        <v>1</v>
      </c>
      <c r="F36" s="1129" t="s">
        <v>1482</v>
      </c>
      <c r="G36" s="1130"/>
      <c r="H36" s="1101"/>
      <c r="I36" s="1101"/>
    </row>
    <row r="37" spans="1:9" s="1585" customFormat="1" ht="19.5" customHeight="1">
      <c r="A37" s="3418"/>
      <c r="B37" s="3418"/>
      <c r="C37" s="1127" t="s">
        <v>1483</v>
      </c>
      <c r="D37" s="1128"/>
      <c r="E37" s="1150">
        <v>1.5</v>
      </c>
      <c r="F37" s="1129" t="s">
        <v>1484</v>
      </c>
      <c r="G37" s="1130"/>
      <c r="H37" s="1101"/>
      <c r="I37" s="1101"/>
    </row>
    <row r="38" spans="1:9" s="1585" customFormat="1" ht="19.5" customHeight="1">
      <c r="A38" s="3418"/>
      <c r="B38" s="3418"/>
      <c r="C38" s="1127" t="s">
        <v>1485</v>
      </c>
      <c r="D38" s="1128"/>
      <c r="E38" s="1150">
        <v>1</v>
      </c>
      <c r="F38" s="1129" t="s">
        <v>1486</v>
      </c>
      <c r="G38" s="1130"/>
      <c r="H38" s="1101"/>
      <c r="I38" s="1101"/>
    </row>
    <row r="39" spans="1:9" s="1585" customFormat="1" ht="19.5" customHeight="1">
      <c r="A39" s="3418"/>
      <c r="B39" s="3418"/>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8" t="s">
        <v>1501</v>
      </c>
      <c r="C61" s="1064" t="s">
        <v>1502</v>
      </c>
      <c r="D61" s="1064" t="s">
        <v>1503</v>
      </c>
      <c r="E61" s="1135">
        <v>0.5</v>
      </c>
      <c r="F61" s="1150">
        <v>80</v>
      </c>
      <c r="H61" s="1101">
        <f>SUMIF(C59:C119,基准地价!C8,E59:E119)</f>
        <v>0</v>
      </c>
    </row>
    <row r="62" spans="1:8" s="1101" customFormat="1" ht="24">
      <c r="A62" s="1150">
        <v>2</v>
      </c>
      <c r="B62" s="3418"/>
      <c r="C62" s="1064" t="s">
        <v>1504</v>
      </c>
      <c r="D62" s="1064" t="s">
        <v>1505</v>
      </c>
      <c r="E62" s="1135">
        <v>0.5</v>
      </c>
      <c r="F62" s="1150">
        <v>80</v>
      </c>
    </row>
    <row r="63" spans="1:8" s="1101" customFormat="1" ht="36">
      <c r="A63" s="1150">
        <v>3</v>
      </c>
      <c r="B63" s="3418"/>
      <c r="C63" s="1064" t="s">
        <v>1506</v>
      </c>
      <c r="D63" s="1064" t="s">
        <v>1507</v>
      </c>
      <c r="E63" s="1135">
        <v>0.5</v>
      </c>
      <c r="F63" s="1150">
        <v>80</v>
      </c>
    </row>
    <row r="64" spans="1:8" s="1101" customFormat="1" ht="36">
      <c r="A64" s="1150">
        <v>4</v>
      </c>
      <c r="B64" s="3418"/>
      <c r="C64" s="1064" t="s">
        <v>1508</v>
      </c>
      <c r="D64" s="1064" t="s">
        <v>1509</v>
      </c>
      <c r="E64" s="1135">
        <v>0.4</v>
      </c>
      <c r="F64" s="1150">
        <v>60</v>
      </c>
    </row>
    <row r="65" spans="1:6" s="1101" customFormat="1" ht="36">
      <c r="A65" s="1150">
        <v>5</v>
      </c>
      <c r="B65" s="3418"/>
      <c r="C65" s="1064" t="s">
        <v>1510</v>
      </c>
      <c r="D65" s="1064" t="s">
        <v>1511</v>
      </c>
      <c r="E65" s="1135">
        <v>0.2</v>
      </c>
      <c r="F65" s="1150">
        <v>30</v>
      </c>
    </row>
    <row r="66" spans="1:6" s="1101" customFormat="1" ht="36">
      <c r="A66" s="1150">
        <v>6</v>
      </c>
      <c r="B66" s="3418"/>
      <c r="C66" s="1064" t="s">
        <v>1512</v>
      </c>
      <c r="D66" s="1064" t="s">
        <v>1513</v>
      </c>
      <c r="E66" s="1135">
        <v>0.3</v>
      </c>
      <c r="F66" s="1150">
        <v>50</v>
      </c>
    </row>
    <row r="67" spans="1:6" s="1101" customFormat="1" ht="36">
      <c r="A67" s="1150">
        <v>7</v>
      </c>
      <c r="B67" s="3418"/>
      <c r="C67" s="1064" t="s">
        <v>1514</v>
      </c>
      <c r="D67" s="1064" t="s">
        <v>1515</v>
      </c>
      <c r="E67" s="1135">
        <v>0.2</v>
      </c>
      <c r="F67" s="1150">
        <v>30</v>
      </c>
    </row>
    <row r="68" spans="1:6" s="1101" customFormat="1" ht="36">
      <c r="A68" s="1150">
        <v>8</v>
      </c>
      <c r="B68" s="3418"/>
      <c r="C68" s="1064" t="s">
        <v>1516</v>
      </c>
      <c r="D68" s="1064" t="s">
        <v>1517</v>
      </c>
      <c r="E68" s="1135">
        <v>0.2</v>
      </c>
      <c r="F68" s="1150">
        <v>30</v>
      </c>
    </row>
    <row r="69" spans="1:6" s="1101" customFormat="1" ht="36">
      <c r="A69" s="1150">
        <v>9</v>
      </c>
      <c r="B69" s="3418"/>
      <c r="C69" s="1064" t="s">
        <v>1518</v>
      </c>
      <c r="D69" s="1064" t="s">
        <v>1519</v>
      </c>
      <c r="E69" s="1135">
        <v>0.2</v>
      </c>
      <c r="F69" s="1150">
        <v>30</v>
      </c>
    </row>
    <row r="70" spans="1:6" s="1101" customFormat="1" ht="48">
      <c r="A70" s="1150">
        <v>10</v>
      </c>
      <c r="B70" s="3418"/>
      <c r="C70" s="1064" t="s">
        <v>1520</v>
      </c>
      <c r="D70" s="1064" t="s">
        <v>1521</v>
      </c>
      <c r="E70" s="1135">
        <v>0.2</v>
      </c>
      <c r="F70" s="1150">
        <v>30</v>
      </c>
    </row>
    <row r="71" spans="1:6" s="1101" customFormat="1" ht="48">
      <c r="A71" s="1150">
        <v>11</v>
      </c>
      <c r="B71" s="3418"/>
      <c r="C71" s="1064" t="s">
        <v>1522</v>
      </c>
      <c r="D71" s="1064" t="s">
        <v>1523</v>
      </c>
      <c r="E71" s="1135">
        <v>0.2</v>
      </c>
      <c r="F71" s="1150">
        <v>30</v>
      </c>
    </row>
    <row r="72" spans="1:6" s="1101" customFormat="1" ht="36">
      <c r="A72" s="1150">
        <v>12</v>
      </c>
      <c r="B72" s="3418"/>
      <c r="C72" s="1064" t="s">
        <v>1524</v>
      </c>
      <c r="D72" s="1064" t="s">
        <v>1525</v>
      </c>
      <c r="E72" s="1135">
        <v>0.5</v>
      </c>
      <c r="F72" s="1150">
        <v>80</v>
      </c>
    </row>
    <row r="73" spans="1:6" s="1101" customFormat="1" ht="24">
      <c r="A73" s="1150">
        <v>13</v>
      </c>
      <c r="B73" s="3418"/>
      <c r="C73" s="1064" t="s">
        <v>1526</v>
      </c>
      <c r="D73" s="1064" t="s">
        <v>1527</v>
      </c>
      <c r="E73" s="1135">
        <v>0.4</v>
      </c>
      <c r="F73" s="1150">
        <v>60</v>
      </c>
    </row>
    <row r="74" spans="1:6" s="1101" customFormat="1" ht="24">
      <c r="A74" s="1150">
        <v>14</v>
      </c>
      <c r="B74" s="3418"/>
      <c r="C74" s="1064" t="s">
        <v>1528</v>
      </c>
      <c r="D74" s="1064" t="s">
        <v>1529</v>
      </c>
      <c r="E74" s="1135">
        <v>0.2</v>
      </c>
      <c r="F74" s="1150">
        <v>30</v>
      </c>
    </row>
    <row r="75" spans="1:6" s="1101" customFormat="1" ht="24">
      <c r="A75" s="1150">
        <v>15</v>
      </c>
      <c r="B75" s="3418"/>
      <c r="C75" s="1064" t="s">
        <v>1530</v>
      </c>
      <c r="D75" s="1064" t="s">
        <v>1531</v>
      </c>
      <c r="E75" s="1135">
        <v>0.2</v>
      </c>
      <c r="F75" s="1150">
        <v>30</v>
      </c>
    </row>
    <row r="76" spans="1:6" s="1101" customFormat="1" ht="24">
      <c r="A76" s="1150">
        <v>16</v>
      </c>
      <c r="B76" s="3418" t="s">
        <v>1532</v>
      </c>
      <c r="C76" s="1064" t="s">
        <v>1533</v>
      </c>
      <c r="D76" s="1064" t="s">
        <v>1534</v>
      </c>
      <c r="E76" s="1135">
        <v>0.5</v>
      </c>
      <c r="F76" s="1150">
        <v>80</v>
      </c>
    </row>
    <row r="77" spans="1:6" s="1101" customFormat="1" ht="24">
      <c r="A77" s="1150">
        <v>17</v>
      </c>
      <c r="B77" s="3418"/>
      <c r="C77" s="1064" t="s">
        <v>1535</v>
      </c>
      <c r="D77" s="1064" t="s">
        <v>1536</v>
      </c>
      <c r="E77" s="1135">
        <v>0.5</v>
      </c>
      <c r="F77" s="1150">
        <v>80</v>
      </c>
    </row>
    <row r="78" spans="1:6" s="1101" customFormat="1" ht="24">
      <c r="A78" s="1150">
        <v>18</v>
      </c>
      <c r="B78" s="3418"/>
      <c r="C78" s="1064" t="s">
        <v>1537</v>
      </c>
      <c r="D78" s="1064" t="s">
        <v>1538</v>
      </c>
      <c r="E78" s="1135">
        <v>0.2</v>
      </c>
      <c r="F78" s="1150">
        <v>30</v>
      </c>
    </row>
    <row r="79" spans="1:6" s="1101" customFormat="1" ht="24">
      <c r="A79" s="1150">
        <v>19</v>
      </c>
      <c r="B79" s="3418"/>
      <c r="C79" s="1064" t="s">
        <v>1539</v>
      </c>
      <c r="D79" s="1064" t="s">
        <v>1540</v>
      </c>
      <c r="E79" s="1135">
        <v>0.5</v>
      </c>
      <c r="F79" s="1150">
        <v>80</v>
      </c>
    </row>
    <row r="80" spans="1:6" s="1101" customFormat="1" ht="36">
      <c r="A80" s="1150">
        <v>20</v>
      </c>
      <c r="B80" s="3418"/>
      <c r="C80" s="1064" t="s">
        <v>1541</v>
      </c>
      <c r="D80" s="1064" t="s">
        <v>1542</v>
      </c>
      <c r="E80" s="1135">
        <v>0.2</v>
      </c>
      <c r="F80" s="1150">
        <v>30</v>
      </c>
    </row>
    <row r="81" spans="1:6" s="1101" customFormat="1" ht="36">
      <c r="A81" s="1150">
        <v>21</v>
      </c>
      <c r="B81" s="3418"/>
      <c r="C81" s="1064" t="s">
        <v>1543</v>
      </c>
      <c r="D81" s="1064" t="s">
        <v>1544</v>
      </c>
      <c r="E81" s="1135">
        <v>0.2</v>
      </c>
      <c r="F81" s="1150">
        <v>30</v>
      </c>
    </row>
    <row r="82" spans="1:6" s="1101" customFormat="1" ht="48">
      <c r="A82" s="1150">
        <v>22</v>
      </c>
      <c r="B82" s="3418"/>
      <c r="C82" s="1064" t="s">
        <v>1545</v>
      </c>
      <c r="D82" s="1064" t="s">
        <v>1546</v>
      </c>
      <c r="E82" s="1135">
        <v>0.2</v>
      </c>
      <c r="F82" s="1150">
        <v>30</v>
      </c>
    </row>
    <row r="83" spans="1:6" s="1101" customFormat="1" ht="48">
      <c r="A83" s="1150">
        <v>23</v>
      </c>
      <c r="B83" s="3418"/>
      <c r="C83" s="1064" t="s">
        <v>1547</v>
      </c>
      <c r="D83" s="1064" t="s">
        <v>1548</v>
      </c>
      <c r="E83" s="1135">
        <v>0.2</v>
      </c>
      <c r="F83" s="1150">
        <v>30</v>
      </c>
    </row>
    <row r="84" spans="1:6" s="1101" customFormat="1" ht="36">
      <c r="A84" s="1150">
        <v>24</v>
      </c>
      <c r="B84" s="3418"/>
      <c r="C84" s="1064" t="s">
        <v>1549</v>
      </c>
      <c r="D84" s="1064" t="s">
        <v>1550</v>
      </c>
      <c r="E84" s="1135">
        <v>0.2</v>
      </c>
      <c r="F84" s="1150">
        <v>30</v>
      </c>
    </row>
    <row r="85" spans="1:6" s="1101" customFormat="1" ht="36">
      <c r="A85" s="1150">
        <v>25</v>
      </c>
      <c r="B85" s="3418"/>
      <c r="C85" s="1064" t="s">
        <v>1551</v>
      </c>
      <c r="D85" s="1064" t="s">
        <v>1552</v>
      </c>
      <c r="E85" s="1135">
        <v>0.5</v>
      </c>
      <c r="F85" s="1150">
        <v>80</v>
      </c>
    </row>
    <row r="86" spans="1:6" s="1101" customFormat="1" ht="36">
      <c r="A86" s="1150">
        <v>26</v>
      </c>
      <c r="B86" s="3418"/>
      <c r="C86" s="1064" t="s">
        <v>1553</v>
      </c>
      <c r="D86" s="1064" t="s">
        <v>1554</v>
      </c>
      <c r="E86" s="1135">
        <v>0.2</v>
      </c>
      <c r="F86" s="1150">
        <v>30</v>
      </c>
    </row>
    <row r="87" spans="1:6" s="1101" customFormat="1" ht="36">
      <c r="A87" s="1150">
        <v>27</v>
      </c>
      <c r="B87" s="3418"/>
      <c r="C87" s="1064" t="s">
        <v>1555</v>
      </c>
      <c r="D87" s="1064" t="s">
        <v>1556</v>
      </c>
      <c r="E87" s="1135">
        <v>0.2</v>
      </c>
      <c r="F87" s="1150">
        <v>30</v>
      </c>
    </row>
    <row r="88" spans="1:6" s="1101" customFormat="1" ht="36">
      <c r="A88" s="1150">
        <v>28</v>
      </c>
      <c r="B88" s="3418"/>
      <c r="C88" s="1064" t="s">
        <v>1557</v>
      </c>
      <c r="D88" s="1064" t="s">
        <v>1558</v>
      </c>
      <c r="E88" s="1135">
        <v>0.2</v>
      </c>
      <c r="F88" s="1150">
        <v>30</v>
      </c>
    </row>
    <row r="89" spans="1:6" s="1101" customFormat="1" ht="24">
      <c r="A89" s="1150">
        <v>29</v>
      </c>
      <c r="B89" s="3418"/>
      <c r="C89" s="1064" t="s">
        <v>1559</v>
      </c>
      <c r="D89" s="1064" t="s">
        <v>1560</v>
      </c>
      <c r="E89" s="1135">
        <v>0.2</v>
      </c>
      <c r="F89" s="1150">
        <v>30</v>
      </c>
    </row>
    <row r="90" spans="1:6" s="1101" customFormat="1" ht="24">
      <c r="A90" s="1150">
        <v>30</v>
      </c>
      <c r="B90" s="3418"/>
      <c r="C90" s="1064" t="s">
        <v>1561</v>
      </c>
      <c r="D90" s="1064" t="s">
        <v>1562</v>
      </c>
      <c r="E90" s="1135">
        <v>0.2</v>
      </c>
      <c r="F90" s="1150">
        <v>30</v>
      </c>
    </row>
    <row r="91" spans="1:6" s="1101" customFormat="1" ht="36">
      <c r="A91" s="1150">
        <v>31</v>
      </c>
      <c r="B91" s="3418"/>
      <c r="C91" s="1064" t="s">
        <v>1563</v>
      </c>
      <c r="D91" s="1064" t="s">
        <v>1564</v>
      </c>
      <c r="E91" s="1135">
        <v>0.2</v>
      </c>
      <c r="F91" s="1150">
        <v>30</v>
      </c>
    </row>
    <row r="92" spans="1:6" s="1101" customFormat="1" ht="24">
      <c r="A92" s="1150">
        <v>32</v>
      </c>
      <c r="B92" s="3418" t="s">
        <v>1565</v>
      </c>
      <c r="C92" s="1150" t="s">
        <v>1566</v>
      </c>
      <c r="D92" s="1064" t="s">
        <v>1567</v>
      </c>
      <c r="E92" s="1135">
        <v>0.2</v>
      </c>
      <c r="F92" s="1150">
        <v>30</v>
      </c>
    </row>
    <row r="93" spans="1:6" s="1101" customFormat="1" ht="36">
      <c r="A93" s="1150">
        <v>33</v>
      </c>
      <c r="B93" s="3418"/>
      <c r="C93" s="1150" t="s">
        <v>1568</v>
      </c>
      <c r="D93" s="1064" t="s">
        <v>1569</v>
      </c>
      <c r="E93" s="1135">
        <v>0.2</v>
      </c>
      <c r="F93" s="1150">
        <v>30</v>
      </c>
    </row>
    <row r="94" spans="1:6" s="1101" customFormat="1" ht="48">
      <c r="A94" s="1150">
        <v>34</v>
      </c>
      <c r="B94" s="3418"/>
      <c r="C94" s="1150" t="s">
        <v>1570</v>
      </c>
      <c r="D94" s="1064" t="s">
        <v>1571</v>
      </c>
      <c r="E94" s="1135">
        <v>0.2</v>
      </c>
      <c r="F94" s="1150">
        <v>30</v>
      </c>
    </row>
    <row r="95" spans="1:6" s="1101" customFormat="1" ht="36">
      <c r="A95" s="1150">
        <v>35</v>
      </c>
      <c r="B95" s="3418"/>
      <c r="C95" s="1150" t="s">
        <v>1572</v>
      </c>
      <c r="D95" s="1064" t="s">
        <v>1573</v>
      </c>
      <c r="E95" s="1135">
        <v>0.2</v>
      </c>
      <c r="F95" s="1150">
        <v>30</v>
      </c>
    </row>
    <row r="96" spans="1:6" s="1101" customFormat="1" ht="48">
      <c r="A96" s="1150">
        <v>36</v>
      </c>
      <c r="B96" s="3418"/>
      <c r="C96" s="1064" t="s">
        <v>1574</v>
      </c>
      <c r="D96" s="1064" t="s">
        <v>1575</v>
      </c>
      <c r="E96" s="1135">
        <v>0.2</v>
      </c>
      <c r="F96" s="1150">
        <v>30</v>
      </c>
    </row>
    <row r="97" spans="1:6" s="1101" customFormat="1" ht="36">
      <c r="A97" s="1150">
        <v>37</v>
      </c>
      <c r="B97" s="3418"/>
      <c r="C97" s="1150" t="s">
        <v>1576</v>
      </c>
      <c r="D97" s="1064" t="s">
        <v>1577</v>
      </c>
      <c r="E97" s="1135">
        <v>0.2</v>
      </c>
      <c r="F97" s="1150">
        <v>30</v>
      </c>
    </row>
    <row r="98" spans="1:6" s="1101" customFormat="1" ht="36">
      <c r="A98" s="1150">
        <v>38</v>
      </c>
      <c r="B98" s="3418"/>
      <c r="C98" s="1150" t="s">
        <v>1578</v>
      </c>
      <c r="D98" s="1064" t="s">
        <v>1579</v>
      </c>
      <c r="E98" s="1135">
        <v>0.2</v>
      </c>
      <c r="F98" s="1150">
        <v>30</v>
      </c>
    </row>
    <row r="99" spans="1:6" s="1101" customFormat="1" ht="36">
      <c r="A99" s="1150">
        <v>39</v>
      </c>
      <c r="B99" s="3418" t="s">
        <v>1580</v>
      </c>
      <c r="C99" s="1150" t="s">
        <v>1581</v>
      </c>
      <c r="D99" s="1064" t="s">
        <v>1582</v>
      </c>
      <c r="E99" s="1135">
        <v>0.3</v>
      </c>
      <c r="F99" s="1150">
        <v>50</v>
      </c>
    </row>
    <row r="100" spans="1:6" s="1101" customFormat="1" ht="24">
      <c r="A100" s="1150">
        <v>40</v>
      </c>
      <c r="B100" s="3418"/>
      <c r="C100" s="1150" t="s">
        <v>1583</v>
      </c>
      <c r="D100" s="1064" t="s">
        <v>1584</v>
      </c>
      <c r="E100" s="1135">
        <v>0.2</v>
      </c>
      <c r="F100" s="1150">
        <v>30</v>
      </c>
    </row>
    <row r="101" spans="1:6" s="1101" customFormat="1" ht="36">
      <c r="A101" s="1150">
        <v>41</v>
      </c>
      <c r="B101" s="3418"/>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8" t="s">
        <v>1595</v>
      </c>
      <c r="C105" s="1150" t="s">
        <v>1596</v>
      </c>
      <c r="D105" s="1064" t="s">
        <v>1597</v>
      </c>
      <c r="E105" s="1135">
        <v>0.2</v>
      </c>
      <c r="F105" s="1150">
        <v>30</v>
      </c>
    </row>
    <row r="106" spans="1:6" s="1101" customFormat="1" ht="36">
      <c r="A106" s="1150">
        <v>46</v>
      </c>
      <c r="B106" s="3418"/>
      <c r="C106" s="1150" t="s">
        <v>1598</v>
      </c>
      <c r="D106" s="1064" t="s">
        <v>1599</v>
      </c>
      <c r="E106" s="1135">
        <v>0.2</v>
      </c>
      <c r="F106" s="1150">
        <v>30</v>
      </c>
    </row>
    <row r="107" spans="1:6" s="1101" customFormat="1" ht="36">
      <c r="A107" s="1150">
        <v>47</v>
      </c>
      <c r="B107" s="3418" t="s">
        <v>1600</v>
      </c>
      <c r="C107" s="1150" t="s">
        <v>1601</v>
      </c>
      <c r="D107" s="1064" t="s">
        <v>1602</v>
      </c>
      <c r="E107" s="1135">
        <v>0.3</v>
      </c>
      <c r="F107" s="1150">
        <v>50</v>
      </c>
    </row>
    <row r="108" spans="1:6" s="1101" customFormat="1" ht="36">
      <c r="A108" s="1150">
        <v>48</v>
      </c>
      <c r="B108" s="3418"/>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8" t="s">
        <v>1611</v>
      </c>
      <c r="C111" s="1150" t="s">
        <v>1612</v>
      </c>
      <c r="D111" s="1064" t="s">
        <v>1613</v>
      </c>
      <c r="E111" s="1135">
        <v>0.2</v>
      </c>
      <c r="F111" s="1150">
        <v>30</v>
      </c>
    </row>
    <row r="112" spans="1:6" s="1101" customFormat="1" ht="24">
      <c r="A112" s="1150">
        <v>52</v>
      </c>
      <c r="B112" s="3418"/>
      <c r="C112" s="1150" t="s">
        <v>1614</v>
      </c>
      <c r="D112" s="1064" t="s">
        <v>1615</v>
      </c>
      <c r="E112" s="1135">
        <v>0.2</v>
      </c>
      <c r="F112" s="1150">
        <v>30</v>
      </c>
    </row>
    <row r="113" spans="1:14" s="1101" customFormat="1" ht="24">
      <c r="A113" s="1150">
        <v>53</v>
      </c>
      <c r="B113" s="3418"/>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8" t="s">
        <v>1624</v>
      </c>
      <c r="C116" s="1150" t="s">
        <v>1625</v>
      </c>
      <c r="D116" s="1064" t="s">
        <v>1626</v>
      </c>
      <c r="E116" s="1135">
        <v>0.2</v>
      </c>
      <c r="F116" s="1150">
        <v>30</v>
      </c>
    </row>
    <row r="117" spans="1:14" ht="36">
      <c r="A117" s="1150">
        <v>57</v>
      </c>
      <c r="B117" s="3418"/>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7" t="s">
        <v>1633</v>
      </c>
      <c r="B121" s="3417"/>
      <c r="C121" s="3417"/>
      <c r="D121" s="3417"/>
      <c r="E121" s="3417"/>
      <c r="F121" s="3417"/>
      <c r="G121" s="3417"/>
      <c r="H121" s="3417"/>
      <c r="I121" s="3417"/>
      <c r="J121" s="341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2" t="s">
        <v>1039</v>
      </c>
      <c r="B1" s="3422"/>
      <c r="C1" s="3422"/>
      <c r="D1" s="3422"/>
      <c r="E1" s="3422"/>
      <c r="F1" s="342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3" t="s">
        <v>1052</v>
      </c>
      <c r="B2" s="3423"/>
      <c r="C2" s="3423"/>
      <c r="D2" s="3423"/>
      <c r="E2" s="3423"/>
      <c r="F2" s="342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6" t="s">
        <v>2079</v>
      </c>
      <c r="B1" s="3426"/>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4" t="s">
        <v>2576</v>
      </c>
      <c r="C1" s="3434"/>
      <c r="D1" s="3434"/>
      <c r="E1" s="3434"/>
      <c r="F1" s="3434"/>
      <c r="G1" s="3433" t="s">
        <v>2577</v>
      </c>
      <c r="H1" s="3433"/>
      <c r="I1" s="3433"/>
      <c r="J1" s="3433"/>
      <c r="K1" s="3433"/>
      <c r="L1" s="3433"/>
      <c r="N1" s="3433" t="s">
        <v>2578</v>
      </c>
      <c r="O1" s="3433"/>
      <c r="P1" s="3433"/>
      <c r="Q1" s="3433"/>
      <c r="R1" s="2619"/>
      <c r="S1" s="3433" t="s">
        <v>2579</v>
      </c>
      <c r="T1" s="3433"/>
      <c r="U1" s="3433"/>
      <c r="V1" s="3433"/>
      <c r="X1" s="3432" t="s">
        <v>2639</v>
      </c>
      <c r="Y1" s="3433"/>
      <c r="Z1" s="3433"/>
      <c r="AA1" s="3433"/>
      <c r="AB1" s="3433"/>
      <c r="AD1" s="3432" t="s">
        <v>2643</v>
      </c>
      <c r="AE1" s="3433"/>
      <c r="AF1" s="3433"/>
      <c r="AG1" s="3433"/>
      <c r="AH1" s="3433"/>
    </row>
    <row r="2" spans="1:34" s="2720" customFormat="1" ht="14.25" thickBot="1">
      <c r="B2" s="2728" t="s">
        <v>2580</v>
      </c>
      <c r="C2" s="2728" t="s">
        <v>2641</v>
      </c>
      <c r="D2" s="2721" t="s">
        <v>1644</v>
      </c>
      <c r="E2" s="2721" t="s">
        <v>1949</v>
      </c>
      <c r="F2" s="2728" t="s">
        <v>2642</v>
      </c>
      <c r="G2" s="2724"/>
      <c r="H2" s="2723"/>
      <c r="I2" s="2728" t="s">
        <v>2948</v>
      </c>
      <c r="J2" s="2721" t="s">
        <v>2950</v>
      </c>
      <c r="K2" s="2721" t="s">
        <v>2951</v>
      </c>
      <c r="L2" s="2728" t="s">
        <v>2952</v>
      </c>
      <c r="N2" s="2728" t="s">
        <v>2580</v>
      </c>
      <c r="O2" s="2721" t="s">
        <v>2949</v>
      </c>
      <c r="P2" s="2721" t="s">
        <v>1949</v>
      </c>
      <c r="Q2" s="2728" t="s">
        <v>2642</v>
      </c>
      <c r="R2" s="2722"/>
      <c r="S2" s="2728" t="s">
        <v>2580</v>
      </c>
      <c r="T2" s="2721" t="s">
        <v>2949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2961</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2962</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28">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28"/>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28"/>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29"/>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2959</v>
      </c>
      <c r="B11" s="3097">
        <v>439</v>
      </c>
      <c r="C11" s="3097">
        <v>327</v>
      </c>
      <c r="D11" s="3097">
        <f t="shared" si="54"/>
        <v>327</v>
      </c>
      <c r="E11" s="3097">
        <v>627</v>
      </c>
      <c r="F11" s="3098">
        <v>283</v>
      </c>
      <c r="G11" s="3427">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28"/>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28"/>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29"/>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27">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28"/>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28"/>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1"/>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0">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28"/>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28"/>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1"/>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0">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28"/>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28"/>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1"/>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35">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6"/>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6"/>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37"/>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0">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28"/>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28"/>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1"/>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0">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28">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28">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1">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0">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28">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28">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1">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0">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28">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28">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1">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0">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28">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28">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1">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0">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28">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28">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1">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0">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28">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28">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1">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0">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28">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28">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1">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0">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28">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28">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1">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0">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28">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28">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1">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0">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28">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28">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1">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2941</v>
      </c>
      <c r="B1" s="3057"/>
      <c r="C1" s="3057"/>
      <c r="D1" s="3057"/>
      <c r="E1" s="3057"/>
      <c r="F1" s="3057"/>
    </row>
    <row r="2" spans="1:6" ht="14.25">
      <c r="A2" s="3058" t="s">
        <v>2936</v>
      </c>
      <c r="B2" s="3059" t="e">
        <f ca="1">SUMIF(B7:B14,"&lt;&gt;#ref!",B7:B14)</f>
        <v>#DIV/0!</v>
      </c>
      <c r="C2" s="3058" t="s">
        <v>2937</v>
      </c>
      <c r="D2" s="3057"/>
      <c r="E2" s="3057"/>
      <c r="F2" s="3057"/>
    </row>
    <row r="3" spans="1:6" ht="14.25">
      <c r="A3" s="3058" t="s">
        <v>2969</v>
      </c>
      <c r="B3" s="3059" t="e">
        <f ca="1">ROUND(B2*10000/E3,0)</f>
        <v>#DIV/0!</v>
      </c>
      <c r="C3" s="3058" t="s">
        <v>2078</v>
      </c>
      <c r="D3" s="3058" t="s">
        <v>2938</v>
      </c>
      <c r="E3" s="3059">
        <f ca="1">SUMIF(E7:E14,"&lt;&gt;#ref!",E7:E14)</f>
        <v>0</v>
      </c>
      <c r="F3" s="3057"/>
    </row>
    <row r="4" spans="1:6" ht="14.25">
      <c r="A4" s="3058" t="s">
        <v>2945</v>
      </c>
      <c r="B4" s="3059" t="e">
        <f ca="1">ROUND(B2*10000/E4,0)</f>
        <v>#DIV/0!</v>
      </c>
      <c r="C4" s="3058" t="s">
        <v>2078</v>
      </c>
      <c r="D4" s="3058" t="s">
        <v>2946</v>
      </c>
      <c r="E4" s="3059">
        <f ca="1">SUMIF(F7:F14,"&lt;&gt;#ref!",F7:F14)</f>
        <v>0</v>
      </c>
      <c r="F4" s="3057"/>
    </row>
    <row r="5" spans="1:6" ht="14.25">
      <c r="A5" s="3060"/>
      <c r="B5" s="1867"/>
      <c r="C5" s="1867"/>
      <c r="D5" s="1867"/>
      <c r="E5" s="1867"/>
      <c r="F5" s="3057"/>
    </row>
    <row r="6" spans="1:6" ht="28.5">
      <c r="A6" s="3061" t="s">
        <v>2942</v>
      </c>
      <c r="B6" s="3058" t="s">
        <v>2939</v>
      </c>
      <c r="C6" s="3059"/>
      <c r="D6" s="1867"/>
      <c r="E6" s="3058" t="s">
        <v>2940</v>
      </c>
      <c r="F6" s="3058" t="s">
        <v>2944</v>
      </c>
    </row>
    <row r="7" spans="1:6" ht="14.25">
      <c r="A7" s="260" t="s">
        <v>2943</v>
      </c>
      <c r="B7" s="3062" t="e">
        <f ca="1">SUMIF(INDIRECT("'"&amp;A7&amp;"'"&amp;"!A:A"),"总价",INDIRECT("'"&amp;A7&amp;"'"&amp;"!B:B"))</f>
        <v>#DIV/0!</v>
      </c>
      <c r="C7" s="3058" t="s">
        <v>2937</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2937</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2937</v>
      </c>
      <c r="D9" s="1867"/>
      <c r="E9" s="3063" t="e">
        <f t="shared" ca="1" si="1"/>
        <v>#REF!</v>
      </c>
      <c r="F9" s="3063" t="e">
        <f t="shared" ca="1" si="2"/>
        <v>#REF!</v>
      </c>
    </row>
    <row r="10" spans="1:6" ht="14.25">
      <c r="A10" s="260"/>
      <c r="B10" s="3062" t="e">
        <f t="shared" ca="1" si="0"/>
        <v>#REF!</v>
      </c>
      <c r="C10" s="3058" t="s">
        <v>2937</v>
      </c>
      <c r="D10" s="1867"/>
      <c r="E10" s="3063" t="e">
        <f t="shared" ca="1" si="1"/>
        <v>#REF!</v>
      </c>
      <c r="F10" s="3063" t="e">
        <f t="shared" ca="1" si="2"/>
        <v>#REF!</v>
      </c>
    </row>
    <row r="11" spans="1:6" ht="14.25">
      <c r="A11" s="260"/>
      <c r="B11" s="3062" t="e">
        <f t="shared" ca="1" si="0"/>
        <v>#REF!</v>
      </c>
      <c r="C11" s="3058" t="s">
        <v>2937</v>
      </c>
      <c r="D11" s="1867"/>
      <c r="E11" s="3063" t="e">
        <f t="shared" ca="1" si="1"/>
        <v>#REF!</v>
      </c>
      <c r="F11" s="3063" t="e">
        <f t="shared" ca="1" si="2"/>
        <v>#REF!</v>
      </c>
    </row>
    <row r="12" spans="1:6" ht="14.25">
      <c r="A12" s="260"/>
      <c r="B12" s="3062" t="e">
        <f t="shared" ca="1" si="0"/>
        <v>#REF!</v>
      </c>
      <c r="C12" s="3058" t="s">
        <v>2937</v>
      </c>
      <c r="D12" s="1867"/>
      <c r="E12" s="3063" t="e">
        <f t="shared" ca="1" si="1"/>
        <v>#REF!</v>
      </c>
      <c r="F12" s="3063" t="e">
        <f t="shared" ca="1" si="2"/>
        <v>#REF!</v>
      </c>
    </row>
    <row r="13" spans="1:6" ht="14.25">
      <c r="A13" s="260"/>
      <c r="B13" s="3062" t="e">
        <f t="shared" ca="1" si="0"/>
        <v>#REF!</v>
      </c>
      <c r="C13" s="3058" t="s">
        <v>2937</v>
      </c>
      <c r="D13" s="1867"/>
      <c r="E13" s="3063" t="e">
        <f t="shared" ca="1" si="1"/>
        <v>#REF!</v>
      </c>
      <c r="F13" s="3063" t="e">
        <f t="shared" ca="1" si="2"/>
        <v>#REF!</v>
      </c>
    </row>
    <row r="14" spans="1:6" ht="14.25">
      <c r="A14" s="3056"/>
      <c r="B14" s="3062" t="e">
        <f t="shared" ca="1" si="0"/>
        <v>#REF!</v>
      </c>
      <c r="C14" s="3058" t="s">
        <v>2937</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39" t="s">
        <v>2463</v>
      </c>
      <c r="C8" s="1811">
        <f ca="1">ROUND(F8*F10*F9*(1-F11)/10000,0)</f>
        <v>0</v>
      </c>
      <c r="D8" s="1808" t="s">
        <v>2534</v>
      </c>
      <c r="E8" s="61" t="s">
        <v>637</v>
      </c>
      <c r="F8" s="785">
        <f ca="1">INDIRECT("'数据-取费表'!u"&amp;$G$1)</f>
        <v>0</v>
      </c>
      <c r="G8" s="1579"/>
      <c r="H8" s="2469" t="s">
        <v>1824</v>
      </c>
      <c r="I8" s="3439" t="s">
        <v>2463</v>
      </c>
      <c r="J8" s="783">
        <f ca="1">ROUND(M8*M10*M9*(1-M11)/10000,0)</f>
        <v>0</v>
      </c>
      <c r="K8" s="341" t="s">
        <v>2534</v>
      </c>
      <c r="L8" s="784" t="s">
        <v>1738</v>
      </c>
      <c r="M8" s="785">
        <f ca="1">INDIRECT("'数据-取费表'!z"&amp;$G$1)</f>
        <v>0</v>
      </c>
    </row>
    <row r="9" spans="1:25" ht="18" customHeight="1">
      <c r="A9" s="2465"/>
      <c r="B9" s="3440"/>
      <c r="C9" s="1812"/>
      <c r="D9" s="1809"/>
      <c r="E9" s="61" t="s">
        <v>638</v>
      </c>
      <c r="F9" s="785">
        <f ca="1">IF(INDIRECT("'数据-取费表'!ah"&amp;$G$1)="",INDIRECT("'数据-取费表'!k"&amp;$G$1),INDIRECT("'数据-取费表'!ah"&amp;$G$1))</f>
        <v>0</v>
      </c>
      <c r="G9" s="1579"/>
      <c r="H9" s="2454"/>
      <c r="I9" s="3440"/>
      <c r="J9" s="788"/>
      <c r="K9" s="789"/>
      <c r="L9" s="784" t="s">
        <v>1739</v>
      </c>
      <c r="M9" s="785">
        <f ca="1">F9</f>
        <v>0</v>
      </c>
    </row>
    <row r="10" spans="1:25" ht="18" customHeight="1">
      <c r="A10" s="2458"/>
      <c r="B10" s="3441"/>
      <c r="C10" s="1812"/>
      <c r="D10" s="1809"/>
      <c r="E10" s="61" t="s">
        <v>639</v>
      </c>
      <c r="F10" s="785">
        <f ca="1">INDIRECT("'数据-取费表'!ai"&amp;$G$1)</f>
        <v>0</v>
      </c>
      <c r="G10" s="1579"/>
      <c r="H10" s="2454"/>
      <c r="I10" s="3441"/>
      <c r="J10" s="788"/>
      <c r="K10" s="789"/>
      <c r="L10" s="784" t="s">
        <v>1740</v>
      </c>
      <c r="M10" s="785">
        <f ca="1">INDIRECT("'数据-取费表'!ai"&amp;$G$1)</f>
        <v>0</v>
      </c>
    </row>
    <row r="11" spans="1:25" ht="18" customHeight="1">
      <c r="A11" s="786"/>
      <c r="B11" s="3442"/>
      <c r="C11" s="1812"/>
      <c r="D11" s="1809"/>
      <c r="E11" s="61" t="s">
        <v>640</v>
      </c>
      <c r="F11" s="794">
        <f ca="1">INDIRECT("'数据-取费表'!w"&amp;$G$1)</f>
        <v>0</v>
      </c>
      <c r="G11" s="1579"/>
      <c r="H11" s="2470"/>
      <c r="I11" s="3441"/>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2966</v>
      </c>
      <c r="E12" s="2463" t="s">
        <v>2464</v>
      </c>
      <c r="F12" s="2586"/>
      <c r="G12" s="1579"/>
      <c r="H12" s="2526" t="s">
        <v>1825</v>
      </c>
      <c r="I12" s="2531" t="s">
        <v>2459</v>
      </c>
      <c r="J12" s="783">
        <f ca="1">ROUND(IF(M12="押一",J8/12*M13,IF(M12="押二",J8/12*2*M13,IF(M12="押三",J8/12*3*M13,J13*M13))),0)</f>
        <v>0</v>
      </c>
      <c r="K12" s="2466" t="s">
        <v>2966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38"/>
      <c r="J36" s="2065"/>
      <c r="K36" s="2066"/>
      <c r="L36" s="2065"/>
      <c r="M36" s="2065"/>
    </row>
    <row r="37" spans="1:18" ht="18" customHeight="1">
      <c r="A37" s="815"/>
      <c r="B37" s="793"/>
      <c r="C37" s="69"/>
      <c r="D37" s="816"/>
      <c r="E37" s="784" t="s">
        <v>674</v>
      </c>
      <c r="F37" s="785">
        <f ca="1">INDIRECT("'数据-取费表'!r"&amp;$G$1)</f>
        <v>0</v>
      </c>
      <c r="G37" s="2048"/>
      <c r="H37" s="2051"/>
      <c r="I37" s="3438"/>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2954</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6" t="s">
        <v>2349</v>
      </c>
      <c r="L48" s="3110">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2970</v>
      </c>
      <c r="J54" s="3105">
        <f ca="1">IF(M48="住宅",MAX(J52,L49-'数据-取费表'!B20),MIN(J52,L49-'数据-取费表'!B20))</f>
        <v>-2</v>
      </c>
      <c r="K54" s="3443"/>
      <c r="L54" s="3444"/>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3"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2934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受贵公司委托，我公司对山东省日照市东港区蓝色大道以北、海六路以西住宅、商业用地出让国有建设用地使用权抵押价格进行了预评估。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日照市东港区蓝色大道以北、海六路以西住宅、商业用地出让国有建设用地使用权。根据《国有土地使用证》[]，估价对象（分摊）出让国有建设用地使用权面积为103677.9平方米。根据《建设工程规划许可证》[]、《出让合同》[]，估价对象规划建筑面积为129597.37平方米。</v>
      </c>
    </row>
    <row r="7" spans="1:4" ht="56.25">
      <c r="A7" s="1781" t="s">
        <v>2747</v>
      </c>
    </row>
    <row r="8" spans="1:4" ht="18.75">
      <c r="A8" s="1780" t="s">
        <v>1906</v>
      </c>
    </row>
    <row r="9" spans="1:4" ht="37.5">
      <c r="A9" s="1782" t="str">
        <f>IF(项目基本情况!B8="抵押",IF(项目基本情况!B5=项目基本情况!B6,定义!C51,定义!B51),定义!D51)</f>
        <v>拟使用山东省日照市东港区蓝色大道以北、海六路以西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2019年4月4日（评估专业人员勘察现场之日）</v>
      </c>
    </row>
    <row r="12" spans="1:4" ht="18.75">
      <c r="A12" s="1783" t="s">
        <v>2025</v>
      </c>
    </row>
    <row r="13" spans="1:4" ht="18.75">
      <c r="A13" s="1777" t="s">
        <v>2933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根据委托估价方介绍及评估专业人员现场勘查，本次评估估价对象实际土地开发程度为红线外市政基础设施达“七通”（即通路、通电、通讯、通上水、通上水、通热、燃气）、宗地红线内场地平整。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根据《国有土地使用证》[]，估价对象（分摊）出让国有建设用地使用权面积为103677.9平方米。根据《建设工程规划许可证》[]、《出让合同》[]，估价对象规划建筑面积为129597.37平方米。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11日、商业2058年12月11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39" t="s">
        <v>2463</v>
      </c>
      <c r="C6" s="783">
        <f ca="1">ROUND(F6*F8*F7*(1-F9)/10000,0)</f>
        <v>0</v>
      </c>
      <c r="D6" s="2462" t="s">
        <v>2462</v>
      </c>
      <c r="E6" s="784" t="s">
        <v>1738</v>
      </c>
      <c r="F6" s="785">
        <f ca="1">INDIRECT("'数据-取费表'!u"&amp;$G$1)</f>
        <v>0</v>
      </c>
      <c r="G6" s="1579"/>
      <c r="H6" s="2469" t="s">
        <v>2468</v>
      </c>
      <c r="I6" s="3439" t="s">
        <v>2463</v>
      </c>
      <c r="J6" s="783">
        <f ca="1">ROUND(M6*M8*M7*(1-M9)/10000,0)</f>
        <v>0</v>
      </c>
      <c r="K6" s="341" t="s">
        <v>1737</v>
      </c>
      <c r="L6" s="784" t="s">
        <v>1738</v>
      </c>
      <c r="M6" s="785">
        <f ca="1">INDIRECT("'数据-取费表'!z"&amp;$G$1)</f>
        <v>0</v>
      </c>
    </row>
    <row r="7" spans="1:33" ht="18" customHeight="1">
      <c r="A7" s="2465"/>
      <c r="B7" s="3440"/>
      <c r="C7" s="788"/>
      <c r="D7" s="789"/>
      <c r="E7" s="784" t="s">
        <v>1739</v>
      </c>
      <c r="F7" s="785">
        <f ca="1">IF(INDIRECT("'数据-取费表'!ah"&amp;$G$1)="",INDIRECT("'数据-取费表'!k"&amp;$G$1),INDIRECT("'数据-取费表'!ah"&amp;$G$1))</f>
        <v>0</v>
      </c>
      <c r="G7" s="1579"/>
      <c r="H7" s="2454"/>
      <c r="I7" s="3440"/>
      <c r="J7" s="788"/>
      <c r="K7" s="789"/>
      <c r="L7" s="784" t="s">
        <v>1739</v>
      </c>
      <c r="M7" s="785">
        <f ca="1">F7</f>
        <v>0</v>
      </c>
    </row>
    <row r="8" spans="1:33" ht="18" customHeight="1">
      <c r="A8" s="2458"/>
      <c r="B8" s="3441"/>
      <c r="C8" s="788"/>
      <c r="D8" s="789"/>
      <c r="E8" s="784" t="s">
        <v>1740</v>
      </c>
      <c r="F8" s="785">
        <f ca="1">INDIRECT("'数据-取费表'!ai"&amp;$G$1)</f>
        <v>0</v>
      </c>
      <c r="G8" s="1579"/>
      <c r="H8" s="2454"/>
      <c r="I8" s="3441"/>
      <c r="J8" s="788"/>
      <c r="K8" s="789"/>
      <c r="L8" s="784" t="s">
        <v>1740</v>
      </c>
      <c r="M8" s="785">
        <f ca="1">INDIRECT("'数据-取费表'!ai"&amp;$G$1)</f>
        <v>0</v>
      </c>
    </row>
    <row r="9" spans="1:33" ht="18" customHeight="1">
      <c r="A9" s="786"/>
      <c r="B9" s="3442"/>
      <c r="C9" s="788"/>
      <c r="D9" s="789"/>
      <c r="E9" s="784" t="s">
        <v>1741</v>
      </c>
      <c r="F9" s="794">
        <f ca="1">INDIRECT("'数据-取费表'!w"&amp;$G$1)</f>
        <v>0</v>
      </c>
      <c r="G9" s="1579"/>
      <c r="H9" s="2470"/>
      <c r="I9" s="3441"/>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2966</v>
      </c>
      <c r="E10" s="2463" t="s">
        <v>2464</v>
      </c>
      <c r="F10" s="2586"/>
      <c r="G10" s="1579"/>
      <c r="H10" s="2526" t="s">
        <v>2469</v>
      </c>
      <c r="I10" s="2531" t="s">
        <v>2459</v>
      </c>
      <c r="J10" s="783">
        <f ca="1">ROUND(IF(M10="押一",J6/12*M11,IF(M10="押二",J6/12*2*M11,IF(M10="押三",J6/12*3*M11,J11*M11))),0)</f>
        <v>0</v>
      </c>
      <c r="K10" s="2466" t="s">
        <v>2966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2956</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9"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6" t="s">
        <v>2349</v>
      </c>
      <c r="L47" s="3110">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7"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8" t="s">
        <v>2346</v>
      </c>
      <c r="J49" s="2348"/>
      <c r="K49" s="3108"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8"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1">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2967</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2970</v>
      </c>
      <c r="J53" s="3105">
        <f ca="1">IF(M47="住宅",IF(D1="——",MAX(J51,L48),MAX(J51,L48-'数据-取费表'!B20)),IF(D1="——",MIN(J51,L48),MIN(J51,L48-'数据-取费表'!B20)))</f>
        <v>0</v>
      </c>
      <c r="K53" s="3445" t="s">
        <v>2958</v>
      </c>
      <c r="L53" s="3446"/>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4" t="s">
        <v>2355</v>
      </c>
      <c r="J55" s="3053" t="e">
        <f ca="1">ROUND(IF(J47="钢混",J57/J50,1-(1-2%)*(J50-J57)/J50),3)</f>
        <v>#DIV/0!</v>
      </c>
      <c r="K55" s="3115" t="s">
        <v>2356</v>
      </c>
      <c r="L55" s="2351"/>
      <c r="O55" s="2369" t="s">
        <v>2411</v>
      </c>
      <c r="P55" s="1579"/>
      <c r="Q55" s="1590"/>
      <c r="R55" s="1579"/>
    </row>
    <row r="56" spans="1:18" s="2045" customFormat="1" ht="42.75" customHeight="1" thickBot="1">
      <c r="A56" s="1636"/>
      <c r="B56" s="2217" t="s">
        <v>2302</v>
      </c>
      <c r="C56" s="53">
        <f ca="1">C29</f>
        <v>0</v>
      </c>
      <c r="D56" s="2604"/>
      <c r="E56" s="784"/>
      <c r="F56" s="809"/>
      <c r="I56" s="3116" t="s">
        <v>2357</v>
      </c>
      <c r="J56" s="3126"/>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7" t="s">
        <v>2358</v>
      </c>
      <c r="J57" s="3118">
        <f ca="1">IF(OR(M47="住宅",J51&lt;L48,J56="是"),"——",J51-L48)</f>
        <v>0</v>
      </c>
      <c r="K57" s="3078"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2359</v>
      </c>
      <c r="J58" s="3054" t="e">
        <f ca="1">IF(J55&lt;0.4,0.4,J55)</f>
        <v>#DIV/0!</v>
      </c>
      <c r="K58" s="3078"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e">
        <f ca="1">IF(OR(M47="住宅",J51&lt;L48,J56="是"),"——",ROUND(C29*J58,0))</f>
        <v>#DIV/0!</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10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2" t="s">
        <v>2367</v>
      </c>
      <c r="J62" s="3123" t="s">
        <v>2368</v>
      </c>
      <c r="K62" s="3123" t="s">
        <v>2369</v>
      </c>
      <c r="L62" s="3123" t="s">
        <v>2350</v>
      </c>
      <c r="M62" s="3124" t="s">
        <v>2934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2" t="s">
        <v>2370</v>
      </c>
      <c r="J63" s="3123">
        <v>70</v>
      </c>
      <c r="K63" s="3123">
        <v>50</v>
      </c>
      <c r="L63" s="3123">
        <v>80</v>
      </c>
      <c r="M63" s="3125">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2471</v>
      </c>
      <c r="B1" s="3448"/>
      <c r="C1" s="3449"/>
      <c r="D1" s="3450">
        <f>SUM(I10,I15,I20,I21,I23)</f>
        <v>0</v>
      </c>
      <c r="E1" s="3450"/>
      <c r="F1" s="3450"/>
      <c r="G1" s="3450"/>
      <c r="H1" s="3450"/>
      <c r="I1" s="3451"/>
    </row>
    <row r="2" spans="1:9">
      <c r="A2" s="3452" t="s">
        <v>2472</v>
      </c>
      <c r="B2" s="3453" t="s">
        <v>2473</v>
      </c>
      <c r="C2" s="3453"/>
      <c r="D2" s="2472" t="s">
        <v>2474</v>
      </c>
      <c r="E2" s="2472" t="s">
        <v>2475</v>
      </c>
      <c r="F2" s="2472" t="s">
        <v>2476</v>
      </c>
      <c r="G2" s="2472" t="s">
        <v>2477</v>
      </c>
      <c r="H2" s="2472" t="s">
        <v>2478</v>
      </c>
      <c r="I2" s="2473" t="s">
        <v>2479</v>
      </c>
    </row>
    <row r="3" spans="1:9">
      <c r="A3" s="3452"/>
      <c r="B3" s="3453" t="s">
        <v>2480</v>
      </c>
      <c r="C3" s="3453"/>
      <c r="D3" s="2474"/>
      <c r="E3" s="2472"/>
      <c r="F3" s="2475"/>
      <c r="G3" s="2475"/>
      <c r="H3" s="2476"/>
      <c r="I3" s="2477">
        <f>ROUND(D3*E3*F3*G3*H3/10000,0)</f>
        <v>0</v>
      </c>
    </row>
    <row r="4" spans="1:9">
      <c r="A4" s="3452"/>
      <c r="B4" s="3453" t="s">
        <v>2481</v>
      </c>
      <c r="C4" s="3453"/>
      <c r="D4" s="2474"/>
      <c r="E4" s="2472"/>
      <c r="F4" s="2475"/>
      <c r="G4" s="2475"/>
      <c r="H4" s="2476"/>
      <c r="I4" s="2477">
        <f t="shared" ref="I4:I9" si="0">ROUND(D4*E4*F4*G4*H4/10000,0)</f>
        <v>0</v>
      </c>
    </row>
    <row r="5" spans="1:9">
      <c r="A5" s="3452"/>
      <c r="B5" s="3453" t="s">
        <v>2482</v>
      </c>
      <c r="C5" s="3453"/>
      <c r="D5" s="2474"/>
      <c r="E5" s="2472"/>
      <c r="F5" s="2475"/>
      <c r="G5" s="2475"/>
      <c r="H5" s="2476"/>
      <c r="I5" s="2477">
        <f t="shared" si="0"/>
        <v>0</v>
      </c>
    </row>
    <row r="6" spans="1:9">
      <c r="A6" s="3452"/>
      <c r="B6" s="3453" t="s">
        <v>2483</v>
      </c>
      <c r="C6" s="3453"/>
      <c r="D6" s="2474"/>
      <c r="E6" s="2472"/>
      <c r="F6" s="2475"/>
      <c r="G6" s="2475"/>
      <c r="H6" s="2476"/>
      <c r="I6" s="2477">
        <f t="shared" si="0"/>
        <v>0</v>
      </c>
    </row>
    <row r="7" spans="1:9">
      <c r="A7" s="3452"/>
      <c r="B7" s="3453" t="s">
        <v>2484</v>
      </c>
      <c r="C7" s="3453"/>
      <c r="D7" s="2474"/>
      <c r="E7" s="2472"/>
      <c r="F7" s="2475"/>
      <c r="G7" s="2475"/>
      <c r="H7" s="2476"/>
      <c r="I7" s="2477">
        <f t="shared" si="0"/>
        <v>0</v>
      </c>
    </row>
    <row r="8" spans="1:9">
      <c r="A8" s="3452"/>
      <c r="B8" s="3453" t="s">
        <v>2485</v>
      </c>
      <c r="C8" s="3453"/>
      <c r="D8" s="2474"/>
      <c r="E8" s="2472"/>
      <c r="F8" s="2475"/>
      <c r="G8" s="2475"/>
      <c r="H8" s="2476"/>
      <c r="I8" s="2477">
        <f t="shared" si="0"/>
        <v>0</v>
      </c>
    </row>
    <row r="9" spans="1:9">
      <c r="A9" s="3452"/>
      <c r="B9" s="3453" t="s">
        <v>2486</v>
      </c>
      <c r="C9" s="3453"/>
      <c r="D9" s="2474"/>
      <c r="E9" s="2472"/>
      <c r="F9" s="2475"/>
      <c r="G9" s="2475"/>
      <c r="H9" s="2476"/>
      <c r="I9" s="2477">
        <f t="shared" si="0"/>
        <v>0</v>
      </c>
    </row>
    <row r="10" spans="1:9">
      <c r="A10" s="3452"/>
      <c r="B10" s="3454" t="s">
        <v>2487</v>
      </c>
      <c r="C10" s="3454"/>
      <c r="D10" s="2478">
        <v>527</v>
      </c>
      <c r="E10" s="2478" t="e">
        <f>ROUND(D1*10000/D10/H9,0)</f>
        <v>#DIV/0!</v>
      </c>
      <c r="F10" s="2479"/>
      <c r="G10" s="2479"/>
      <c r="H10" s="2480"/>
      <c r="I10" s="2481">
        <f>SUM(I3:I9)</f>
        <v>0</v>
      </c>
    </row>
    <row r="11" spans="1:9" ht="14.25">
      <c r="A11" s="3452" t="s">
        <v>2488</v>
      </c>
      <c r="B11" s="3453" t="s">
        <v>2489</v>
      </c>
      <c r="C11" s="3453"/>
      <c r="D11" s="2474" t="s">
        <v>2490</v>
      </c>
      <c r="E11" s="2474" t="s">
        <v>2491</v>
      </c>
      <c r="F11" s="2475" t="s">
        <v>2492</v>
      </c>
      <c r="G11" s="2475" t="s">
        <v>2493</v>
      </c>
      <c r="H11" s="2482" t="s">
        <v>2494</v>
      </c>
      <c r="I11" s="2473" t="s">
        <v>2495</v>
      </c>
    </row>
    <row r="12" spans="1:9">
      <c r="A12" s="3452"/>
      <c r="B12" s="3453" t="s">
        <v>2496</v>
      </c>
      <c r="C12" s="3453"/>
      <c r="D12" s="2474"/>
      <c r="E12" s="2474"/>
      <c r="F12" s="2475"/>
      <c r="G12" s="2476"/>
      <c r="H12" s="2483"/>
      <c r="I12" s="2473">
        <f>ROUND(D12*E12*F12*G12/10000,0)</f>
        <v>0</v>
      </c>
    </row>
    <row r="13" spans="1:9">
      <c r="A13" s="3452"/>
      <c r="B13" s="3453" t="s">
        <v>2497</v>
      </c>
      <c r="C13" s="3453"/>
      <c r="D13" s="2474"/>
      <c r="E13" s="2474"/>
      <c r="F13" s="2475"/>
      <c r="G13" s="2476"/>
      <c r="H13" s="2483"/>
      <c r="I13" s="2473">
        <f>ROUND(D13*E13*F13*G13/10000,0)</f>
        <v>0</v>
      </c>
    </row>
    <row r="14" spans="1:9">
      <c r="A14" s="3452"/>
      <c r="B14" s="3453" t="s">
        <v>2498</v>
      </c>
      <c r="C14" s="3453"/>
      <c r="D14" s="2474"/>
      <c r="E14" s="2474"/>
      <c r="F14" s="2475"/>
      <c r="G14" s="2476"/>
      <c r="H14" s="2483"/>
      <c r="I14" s="2473">
        <f>ROUND(D14*E14*F14*G14/10000,0)</f>
        <v>0</v>
      </c>
    </row>
    <row r="15" spans="1:9">
      <c r="A15" s="3452"/>
      <c r="B15" s="3454" t="s">
        <v>2487</v>
      </c>
      <c r="C15" s="3454"/>
      <c r="D15" s="2478"/>
      <c r="E15" s="2478">
        <f>SUM(E12:E14)</f>
        <v>0</v>
      </c>
      <c r="F15" s="2479"/>
      <c r="G15" s="2476"/>
      <c r="H15" s="2483"/>
      <c r="I15" s="2484">
        <f>SUM(I12:I14)</f>
        <v>0</v>
      </c>
    </row>
    <row r="16" spans="1:9" ht="24">
      <c r="A16" s="3452" t="s">
        <v>2499</v>
      </c>
      <c r="B16" s="3453" t="s">
        <v>2500</v>
      </c>
      <c r="C16" s="3453"/>
      <c r="D16" s="2474" t="s">
        <v>2501</v>
      </c>
      <c r="E16" s="2485" t="s">
        <v>2502</v>
      </c>
      <c r="F16" s="2475" t="s">
        <v>2503</v>
      </c>
      <c r="G16" s="2476" t="s">
        <v>2493</v>
      </c>
      <c r="H16" s="2482" t="s">
        <v>2494</v>
      </c>
      <c r="I16" s="2473" t="s">
        <v>2495</v>
      </c>
    </row>
    <row r="17" spans="1:9" ht="14.25">
      <c r="A17" s="3452"/>
      <c r="B17" s="3453" t="s">
        <v>2504</v>
      </c>
      <c r="C17" s="3453"/>
      <c r="D17" s="2474"/>
      <c r="E17" s="2474"/>
      <c r="F17" s="2475"/>
      <c r="G17" s="2476"/>
      <c r="H17" s="2486"/>
      <c r="I17" s="2487">
        <f>ROUND(D17*E17*F17*G17/10000,0)</f>
        <v>0</v>
      </c>
    </row>
    <row r="18" spans="1:9" ht="14.25">
      <c r="A18" s="3452"/>
      <c r="B18" s="3453" t="s">
        <v>2505</v>
      </c>
      <c r="C18" s="3453"/>
      <c r="D18" s="2474"/>
      <c r="E18" s="2474"/>
      <c r="F18" s="2475"/>
      <c r="G18" s="2476"/>
      <c r="H18" s="2486"/>
      <c r="I18" s="2487">
        <f>ROUND(D18*E18*F18*G18/10000,0)</f>
        <v>0</v>
      </c>
    </row>
    <row r="19" spans="1:9" ht="14.25">
      <c r="A19" s="3452"/>
      <c r="B19" s="3453" t="s">
        <v>2506</v>
      </c>
      <c r="C19" s="3453"/>
      <c r="D19" s="2474"/>
      <c r="E19" s="2474"/>
      <c r="F19" s="2475"/>
      <c r="G19" s="2476"/>
      <c r="H19" s="2486"/>
      <c r="I19" s="2487">
        <f>ROUND(D19*E19*F19*G19/10000,0)</f>
        <v>0</v>
      </c>
    </row>
    <row r="20" spans="1:9">
      <c r="A20" s="3452"/>
      <c r="B20" s="3454" t="s">
        <v>2487</v>
      </c>
      <c r="C20" s="3454"/>
      <c r="D20" s="2478">
        <f>SUM(D17:D19)</f>
        <v>0</v>
      </c>
      <c r="E20" s="2478"/>
      <c r="F20" s="2479"/>
      <c r="G20" s="2476"/>
      <c r="H20" s="2483"/>
      <c r="I20" s="2484">
        <f>SUM(I17:I19)</f>
        <v>0</v>
      </c>
    </row>
    <row r="21" spans="1:9">
      <c r="A21" s="3452" t="s">
        <v>2507</v>
      </c>
      <c r="B21" s="3456"/>
      <c r="C21" s="3456"/>
      <c r="D21" s="3456"/>
      <c r="E21" s="3456"/>
      <c r="F21" s="3456"/>
      <c r="G21" s="3456"/>
      <c r="H21" s="2488">
        <v>0.1</v>
      </c>
      <c r="I21" s="2481">
        <f>ROUND(I10*H21,0)</f>
        <v>0</v>
      </c>
    </row>
    <row r="22" spans="1:9" ht="14.25">
      <c r="A22" s="3457" t="s">
        <v>2508</v>
      </c>
      <c r="B22" s="3458"/>
      <c r="C22" s="3459"/>
      <c r="D22" s="2489" t="s">
        <v>2509</v>
      </c>
      <c r="E22" s="2489" t="s">
        <v>2510</v>
      </c>
      <c r="F22" s="2490" t="s">
        <v>2511</v>
      </c>
      <c r="G22" s="2490" t="s">
        <v>2512</v>
      </c>
      <c r="H22" s="2482" t="s">
        <v>2513</v>
      </c>
      <c r="I22" s="2473" t="s">
        <v>2514</v>
      </c>
    </row>
    <row r="23" spans="1:9" ht="14.25" thickBot="1">
      <c r="A23" s="3460"/>
      <c r="B23" s="3461"/>
      <c r="C23" s="3462"/>
      <c r="D23" s="2491"/>
      <c r="E23" s="2491"/>
      <c r="F23" s="2491"/>
      <c r="G23" s="2492"/>
      <c r="H23" s="2493"/>
      <c r="I23" s="2494">
        <f>ROUND(E23*D23*F23*(1-G23)/10000,0)</f>
        <v>0</v>
      </c>
    </row>
    <row r="26" spans="1:9">
      <c r="A26" s="2495" t="s">
        <v>2515</v>
      </c>
      <c r="B26" s="2495"/>
      <c r="C26" s="2495"/>
      <c r="D26" s="2495"/>
      <c r="E26" s="3463">
        <f>C27-C30-C31-C32</f>
        <v>0</v>
      </c>
      <c r="F26" s="3463"/>
      <c r="G26" s="3463"/>
      <c r="H26" s="2996" t="s">
        <v>2843</v>
      </c>
    </row>
    <row r="27" spans="1:9">
      <c r="A27" s="2496">
        <v>1</v>
      </c>
      <c r="B27" s="2497" t="s">
        <v>2516</v>
      </c>
      <c r="C27" s="2497"/>
      <c r="D27" s="2497"/>
      <c r="E27" s="3464"/>
      <c r="F27" s="3464"/>
      <c r="G27" s="3464"/>
    </row>
    <row r="28" spans="1:9">
      <c r="A28" s="2498" t="s">
        <v>2517</v>
      </c>
      <c r="B28" s="2497" t="s">
        <v>2518</v>
      </c>
      <c r="C28" s="2497"/>
      <c r="D28" s="2497"/>
      <c r="E28" s="3464"/>
      <c r="F28" s="3464"/>
      <c r="G28" s="3464"/>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5"/>
      <c r="F32" s="3455"/>
      <c r="G32" s="3455"/>
    </row>
    <row r="33" spans="1:7" hidden="1">
      <c r="A33" s="3465" t="s">
        <v>2526</v>
      </c>
      <c r="B33" s="3466"/>
      <c r="C33" s="3466"/>
      <c r="D33" s="3467"/>
      <c r="E33" s="3463"/>
      <c r="F33" s="3463"/>
      <c r="G33" s="3463"/>
    </row>
    <row r="34" spans="1:7" hidden="1">
      <c r="A34" s="2500">
        <v>1</v>
      </c>
      <c r="B34" s="2497" t="s">
        <v>2527</v>
      </c>
      <c r="C34" s="2497"/>
      <c r="D34" s="2497"/>
      <c r="E34" s="3464"/>
      <c r="F34" s="3464"/>
      <c r="G34" s="3464"/>
    </row>
    <row r="35" spans="1:7" hidden="1">
      <c r="A35" s="2500">
        <v>2</v>
      </c>
      <c r="B35" s="2497" t="s">
        <v>2528</v>
      </c>
      <c r="C35" s="2497"/>
      <c r="D35" s="2497"/>
      <c r="E35" s="3464"/>
      <c r="F35" s="3464"/>
      <c r="G35" s="3464"/>
    </row>
    <row r="36" spans="1:7" hidden="1">
      <c r="A36" s="2500">
        <v>3</v>
      </c>
      <c r="B36" s="2497" t="s">
        <v>2529</v>
      </c>
      <c r="C36" s="2497"/>
      <c r="D36" s="2497"/>
      <c r="E36" s="3464"/>
      <c r="F36" s="3464"/>
      <c r="G36" s="3464"/>
    </row>
    <row r="37" spans="1:7" hidden="1">
      <c r="A37" s="2500">
        <v>4</v>
      </c>
      <c r="B37" s="2497" t="s">
        <v>2530</v>
      </c>
      <c r="C37" s="2497"/>
      <c r="D37" s="2497"/>
      <c r="E37" s="3464"/>
      <c r="F37" s="3464"/>
      <c r="G37" s="3464"/>
    </row>
    <row r="38" spans="1:7" hidden="1">
      <c r="A38" s="3465" t="s">
        <v>2531</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129597.37</v>
      </c>
      <c r="E10" s="749">
        <f>'数据-取费表'!B31</f>
        <v>50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1844</v>
      </c>
      <c r="D12" s="758">
        <f>'数据-汇总表'!E5</f>
        <v>115268.83789</v>
      </c>
      <c r="E12" s="757">
        <f>'数据-取费表'!B27</f>
        <v>160</v>
      </c>
      <c r="F12" s="755"/>
      <c r="G12" s="759"/>
    </row>
    <row r="13" spans="1:25" s="2169" customFormat="1" ht="13.5" customHeight="1">
      <c r="A13" s="2441" t="s">
        <v>2447</v>
      </c>
      <c r="B13" s="756" t="s">
        <v>612</v>
      </c>
      <c r="C13" s="757">
        <f>ROUND(D13*E13/10000,0)</f>
        <v>287</v>
      </c>
      <c r="D13" s="758">
        <f>'数据-汇总表'!E6</f>
        <v>14328.53211</v>
      </c>
      <c r="E13" s="757">
        <f>'数据-取费表'!B28</f>
        <v>200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0.92700000000000005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58" t="s">
        <v>522</v>
      </c>
      <c r="D4" s="3359"/>
      <c r="E4" s="3392" t="s">
        <v>523</v>
      </c>
      <c r="F4" s="3393"/>
      <c r="G4" s="3358" t="s">
        <v>524</v>
      </c>
      <c r="H4" s="3359"/>
      <c r="I4" s="3358" t="s">
        <v>525</v>
      </c>
      <c r="J4" s="3359"/>
      <c r="K4" s="853" t="s">
        <v>526</v>
      </c>
      <c r="L4" s="2119"/>
      <c r="M4" s="2120"/>
      <c r="N4" s="2120"/>
      <c r="O4" s="2120"/>
      <c r="P4" s="3360" t="s">
        <v>527</v>
      </c>
      <c r="Q4" s="3361"/>
      <c r="R4" s="3366" t="s">
        <v>523</v>
      </c>
      <c r="S4" s="3367"/>
      <c r="T4" s="3366" t="s">
        <v>524</v>
      </c>
      <c r="U4" s="3367"/>
      <c r="V4" s="3353" t="s">
        <v>525</v>
      </c>
      <c r="W4" s="3353"/>
      <c r="X4" s="1554"/>
      <c r="Y4" s="3366" t="s">
        <v>527</v>
      </c>
      <c r="Z4" s="3367"/>
      <c r="AA4" s="3355" t="s">
        <v>523</v>
      </c>
      <c r="AB4" s="3355" t="s">
        <v>524</v>
      </c>
      <c r="AC4" s="3355" t="s">
        <v>525</v>
      </c>
    </row>
    <row r="5" spans="1:29" ht="15">
      <c r="A5" s="515"/>
      <c r="B5" s="516"/>
      <c r="C5" s="3374" t="s">
        <v>2921</v>
      </c>
      <c r="D5" s="3375"/>
      <c r="E5" s="3394" t="s">
        <v>2922</v>
      </c>
      <c r="F5" s="3395"/>
      <c r="G5" s="3374" t="s">
        <v>2923</v>
      </c>
      <c r="H5" s="3375"/>
      <c r="I5" s="3374" t="s">
        <v>2924</v>
      </c>
      <c r="J5" s="3375"/>
      <c r="K5" s="854"/>
      <c r="L5" s="2119"/>
      <c r="M5" s="2120"/>
      <c r="N5" s="2120"/>
      <c r="O5" s="2120"/>
      <c r="P5" s="3362"/>
      <c r="Q5" s="3363"/>
      <c r="R5" s="3368"/>
      <c r="S5" s="3369"/>
      <c r="T5" s="3368"/>
      <c r="U5" s="3369"/>
      <c r="V5" s="3353"/>
      <c r="W5" s="3353"/>
      <c r="X5" s="1554"/>
      <c r="Y5" s="3368"/>
      <c r="Z5" s="3369"/>
      <c r="AA5" s="3356"/>
      <c r="AB5" s="3356"/>
      <c r="AC5" s="3356"/>
    </row>
    <row r="6" spans="1:29" ht="15.75" thickBot="1">
      <c r="A6" s="517"/>
      <c r="B6" s="518"/>
      <c r="C6" s="3372" t="s">
        <v>2925</v>
      </c>
      <c r="D6" s="3373"/>
      <c r="E6" s="3390" t="s">
        <v>2925</v>
      </c>
      <c r="F6" s="3391"/>
      <c r="G6" s="3372" t="s">
        <v>2925</v>
      </c>
      <c r="H6" s="3373"/>
      <c r="I6" s="3372" t="s">
        <v>2925</v>
      </c>
      <c r="J6" s="3373"/>
      <c r="K6" s="854" t="s">
        <v>528</v>
      </c>
      <c r="L6" s="2119"/>
      <c r="M6" s="2120"/>
      <c r="N6" s="2120"/>
      <c r="O6" s="2120"/>
      <c r="P6" s="3364"/>
      <c r="Q6" s="3365"/>
      <c r="R6" s="3368"/>
      <c r="S6" s="3369"/>
      <c r="T6" s="3370"/>
      <c r="U6" s="3371"/>
      <c r="V6" s="3353"/>
      <c r="W6" s="3353"/>
      <c r="X6" s="1554"/>
      <c r="Y6" s="3370"/>
      <c r="Z6" s="3371"/>
      <c r="AA6" s="3357"/>
      <c r="AB6" s="3357"/>
      <c r="AC6" s="3357"/>
    </row>
    <row r="7" spans="1:29" s="1216" customFormat="1" ht="15.75" thickBot="1">
      <c r="A7" s="2868"/>
      <c r="B7" s="2875" t="s">
        <v>529</v>
      </c>
      <c r="C7" s="519">
        <f>'数据-取费表'!B2</f>
        <v>43559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3" t="s">
        <v>530</v>
      </c>
      <c r="Q7" s="3385"/>
      <c r="R7" s="1555" t="s">
        <v>13</v>
      </c>
      <c r="S7" s="1556">
        <f t="shared" ref="S7:S15" si="0">F7</f>
        <v>0</v>
      </c>
      <c r="T7" s="1555" t="s">
        <v>13</v>
      </c>
      <c r="U7" s="1556">
        <f t="shared" ref="U7:U15" si="1">H7</f>
        <v>0</v>
      </c>
      <c r="V7" s="1555" t="s">
        <v>13</v>
      </c>
      <c r="W7" s="1556">
        <f t="shared" ref="W7:W15"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3" t="s">
        <v>533</v>
      </c>
      <c r="Q8" s="3384"/>
      <c r="R8" s="1555" t="s">
        <v>13</v>
      </c>
      <c r="S8" s="1556">
        <f t="shared" si="0"/>
        <v>0</v>
      </c>
      <c r="T8" s="1555" t="s">
        <v>13</v>
      </c>
      <c r="U8" s="1556">
        <f t="shared" si="1"/>
        <v>0</v>
      </c>
      <c r="V8" s="1555" t="s">
        <v>13</v>
      </c>
      <c r="W8" s="1556">
        <f t="shared" si="2"/>
        <v>0</v>
      </c>
      <c r="X8" s="1557"/>
      <c r="Y8" s="3383" t="s">
        <v>533</v>
      </c>
      <c r="Z8" s="338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2" t="s">
        <v>535</v>
      </c>
      <c r="Q9" s="1147" t="str">
        <f t="shared" ref="Q9:Q15" si="6">B9</f>
        <v>用途</v>
      </c>
      <c r="R9" s="1555" t="s">
        <v>8</v>
      </c>
      <c r="S9" s="1556">
        <f t="shared" si="0"/>
        <v>100</v>
      </c>
      <c r="T9" s="1555" t="s">
        <v>8</v>
      </c>
      <c r="U9" s="1556">
        <f t="shared" si="1"/>
        <v>100</v>
      </c>
      <c r="V9" s="1555" t="s">
        <v>8</v>
      </c>
      <c r="W9" s="1556">
        <f t="shared" si="2"/>
        <v>100</v>
      </c>
      <c r="X9" s="1557"/>
      <c r="Y9" s="329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2"/>
      <c r="Q11" s="1147" t="str">
        <f t="shared" si="6"/>
        <v>容积率</v>
      </c>
      <c r="R11" s="1555" t="s">
        <v>11</v>
      </c>
      <c r="S11" s="1556" t="e">
        <f t="shared" si="0"/>
        <v>#N/A</v>
      </c>
      <c r="T11" s="1555" t="s">
        <v>11</v>
      </c>
      <c r="U11" s="1556" t="e">
        <f t="shared" si="1"/>
        <v>#N/A</v>
      </c>
      <c r="V11" s="1555" t="s">
        <v>11</v>
      </c>
      <c r="W11" s="1556" t="e">
        <f t="shared" si="2"/>
        <v>#N/A</v>
      </c>
      <c r="X11" s="1557"/>
      <c r="Y11" s="329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2"/>
      <c r="Q12" s="1147">
        <f t="shared" si="6"/>
        <v>111</v>
      </c>
      <c r="R12" s="1555" t="s">
        <v>11</v>
      </c>
      <c r="S12" s="1556">
        <f t="shared" si="0"/>
        <v>100</v>
      </c>
      <c r="T12" s="1555" t="s">
        <v>11</v>
      </c>
      <c r="U12" s="1556">
        <f t="shared" si="1"/>
        <v>100</v>
      </c>
      <c r="V12" s="1555" t="s">
        <v>11</v>
      </c>
      <c r="W12" s="1556">
        <f t="shared" si="2"/>
        <v>100</v>
      </c>
      <c r="X12" s="1557"/>
      <c r="Y12" s="329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2"/>
      <c r="Q13" s="1147">
        <f t="shared" si="6"/>
        <v>111</v>
      </c>
      <c r="R13" s="1555" t="s">
        <v>11</v>
      </c>
      <c r="S13" s="1556">
        <f t="shared" si="0"/>
        <v>100</v>
      </c>
      <c r="T13" s="1555" t="s">
        <v>11</v>
      </c>
      <c r="U13" s="1556">
        <f t="shared" si="1"/>
        <v>100</v>
      </c>
      <c r="V13" s="1555" t="s">
        <v>11</v>
      </c>
      <c r="W13" s="1556">
        <f t="shared" si="2"/>
        <v>100</v>
      </c>
      <c r="X13" s="1557"/>
      <c r="Y13" s="329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2"/>
      <c r="Q14" s="1147">
        <f t="shared" si="6"/>
        <v>111</v>
      </c>
      <c r="R14" s="1555" t="s">
        <v>11</v>
      </c>
      <c r="S14" s="1556">
        <f t="shared" si="0"/>
        <v>100</v>
      </c>
      <c r="T14" s="1555" t="s">
        <v>11</v>
      </c>
      <c r="U14" s="1556">
        <f t="shared" si="1"/>
        <v>100</v>
      </c>
      <c r="V14" s="1555" t="s">
        <v>11</v>
      </c>
      <c r="W14" s="1556">
        <f t="shared" si="2"/>
        <v>100</v>
      </c>
      <c r="X14" s="1557"/>
      <c r="Y14" s="3298"/>
      <c r="Z14" s="1146">
        <f t="shared" si="7"/>
        <v>111</v>
      </c>
      <c r="AA14" s="1558">
        <f t="shared" si="3"/>
        <v>1</v>
      </c>
      <c r="AB14" s="1558">
        <f t="shared" si="4"/>
        <v>1</v>
      </c>
      <c r="AC14" s="1558">
        <f t="shared" si="5"/>
        <v>1</v>
      </c>
    </row>
    <row r="15" spans="1:29" ht="99.75">
      <c r="A15" s="2866" t="s">
        <v>2754</v>
      </c>
      <c r="B15" s="166" t="s">
        <v>295</v>
      </c>
      <c r="C15" s="867" t="str">
        <f>估价对象房地状况!C3</f>
        <v>较差</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6" t="s">
        <v>540</v>
      </c>
      <c r="Q15" s="1559" t="str">
        <f t="shared" si="6"/>
        <v>居住社区成熟度</v>
      </c>
      <c r="R15" s="1560" t="s">
        <v>11</v>
      </c>
      <c r="S15" s="1561">
        <f t="shared" si="0"/>
        <v>100</v>
      </c>
      <c r="T15" s="1560" t="s">
        <v>11</v>
      </c>
      <c r="U15" s="1561">
        <f t="shared" si="1"/>
        <v>100</v>
      </c>
      <c r="V15" s="1560" t="s">
        <v>11</v>
      </c>
      <c r="W15" s="1561">
        <f t="shared" si="2"/>
        <v>100</v>
      </c>
      <c r="X15" s="1554"/>
      <c r="Y15" s="338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7"/>
      <c r="Q17" s="1559" t="str">
        <f>B17</f>
        <v>交通便捷度</v>
      </c>
      <c r="R17" s="1560" t="s">
        <v>11</v>
      </c>
      <c r="S17" s="1561">
        <f>F17</f>
        <v>100</v>
      </c>
      <c r="T17" s="1560" t="s">
        <v>11</v>
      </c>
      <c r="U17" s="1561">
        <f>H17</f>
        <v>100</v>
      </c>
      <c r="V17" s="1560" t="s">
        <v>11</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7"/>
      <c r="Q18" s="1559"/>
      <c r="R18" s="1560"/>
      <c r="S18" s="1561"/>
      <c r="T18" s="1560"/>
      <c r="U18" s="1561"/>
      <c r="V18" s="1560"/>
      <c r="W18" s="1561"/>
      <c r="X18" s="1554"/>
      <c r="Y18" s="3387"/>
      <c r="Z18" s="1562"/>
      <c r="AA18" s="1563">
        <v>1</v>
      </c>
      <c r="AB18" s="1563">
        <v>1</v>
      </c>
      <c r="AC18" s="1563">
        <v>1</v>
      </c>
    </row>
    <row r="19" spans="1:29" ht="42.75">
      <c r="A19" s="532"/>
      <c r="B19" s="2565" t="s">
        <v>2546</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7"/>
      <c r="Q19" s="1559" t="str">
        <f>B19</f>
        <v>公共配套设施</v>
      </c>
      <c r="R19" s="1560" t="s">
        <v>11</v>
      </c>
      <c r="S19" s="1561">
        <f>F19</f>
        <v>100</v>
      </c>
      <c r="T19" s="1560" t="s">
        <v>11</v>
      </c>
      <c r="U19" s="1561">
        <f>H19</f>
        <v>100</v>
      </c>
      <c r="V19" s="1560" t="s">
        <v>11</v>
      </c>
      <c r="W19" s="1561">
        <f>J19</f>
        <v>100</v>
      </c>
      <c r="X19" s="1554"/>
      <c r="Y19" s="338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7"/>
      <c r="Q20" s="1559"/>
      <c r="R20" s="1560"/>
      <c r="S20" s="1561"/>
      <c r="T20" s="1560"/>
      <c r="U20" s="1561"/>
      <c r="V20" s="1560"/>
      <c r="W20" s="1561"/>
      <c r="X20" s="1554"/>
      <c r="Y20" s="3387"/>
      <c r="Z20" s="1562"/>
      <c r="AA20" s="1563">
        <v>1</v>
      </c>
      <c r="AB20" s="1563">
        <v>1</v>
      </c>
      <c r="AC20" s="1563">
        <v>1</v>
      </c>
    </row>
    <row r="21" spans="1:29" ht="28.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7"/>
      <c r="Q21" s="2544" t="str">
        <f>B21</f>
        <v>基础设施水平</v>
      </c>
      <c r="R21" s="1560" t="s">
        <v>11</v>
      </c>
      <c r="S21" s="1561">
        <f>F21</f>
        <v>100</v>
      </c>
      <c r="T21" s="1560" t="s">
        <v>11</v>
      </c>
      <c r="U21" s="1561">
        <f>H21</f>
        <v>100</v>
      </c>
      <c r="V21" s="1560" t="s">
        <v>11</v>
      </c>
      <c r="W21" s="1561">
        <f>J21</f>
        <v>100</v>
      </c>
      <c r="X21" s="2546"/>
      <c r="Y21" s="338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7"/>
      <c r="Q22" s="2544"/>
      <c r="R22" s="1560"/>
      <c r="S22" s="1561"/>
      <c r="T22" s="1560"/>
      <c r="U22" s="1561"/>
      <c r="V22" s="1560"/>
      <c r="W22" s="1561"/>
      <c r="X22" s="2546"/>
      <c r="Y22" s="3387"/>
      <c r="Z22" s="2545"/>
      <c r="AA22" s="1563">
        <v>1</v>
      </c>
      <c r="AB22" s="1563">
        <v>1</v>
      </c>
      <c r="AC22" s="1563">
        <v>1</v>
      </c>
    </row>
    <row r="23" spans="1:29" ht="57">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7"/>
      <c r="Q23" s="1559" t="str">
        <f>B23</f>
        <v>自然及人文环境</v>
      </c>
      <c r="R23" s="1560" t="s">
        <v>11</v>
      </c>
      <c r="S23" s="1561">
        <f>F23</f>
        <v>100</v>
      </c>
      <c r="T23" s="1560" t="s">
        <v>11</v>
      </c>
      <c r="U23" s="1561">
        <f>H23</f>
        <v>100</v>
      </c>
      <c r="V23" s="1560" t="s">
        <v>11</v>
      </c>
      <c r="W23" s="1561">
        <f>J23</f>
        <v>100</v>
      </c>
      <c r="X23" s="1554"/>
      <c r="Y23" s="338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7"/>
      <c r="Q24" s="1559"/>
      <c r="R24" s="1560"/>
      <c r="S24" s="1561"/>
      <c r="T24" s="1560"/>
      <c r="U24" s="1561"/>
      <c r="V24" s="1560"/>
      <c r="W24" s="1561"/>
      <c r="X24" s="1554"/>
      <c r="Y24" s="338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7"/>
      <c r="Q25" s="1559" t="str">
        <f t="shared" ref="Q25:Q46" si="11">B25</f>
        <v>楼层-1</v>
      </c>
      <c r="R25" s="1560" t="s">
        <v>11</v>
      </c>
      <c r="S25" s="1561">
        <f>F25</f>
        <v>100</v>
      </c>
      <c r="T25" s="1560" t="s">
        <v>11</v>
      </c>
      <c r="U25" s="1561">
        <f>H25</f>
        <v>100</v>
      </c>
      <c r="V25" s="1560" t="s">
        <v>11</v>
      </c>
      <c r="W25" s="1561">
        <f>J25</f>
        <v>100</v>
      </c>
      <c r="X25" s="1554"/>
      <c r="Y25" s="338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7"/>
      <c r="Q26" s="1559" t="str">
        <f t="shared" si="11"/>
        <v>朝向</v>
      </c>
      <c r="R26" s="1560" t="s">
        <v>11</v>
      </c>
      <c r="S26" s="1561">
        <f>F26</f>
        <v>100</v>
      </c>
      <c r="T26" s="1560" t="s">
        <v>11</v>
      </c>
      <c r="U26" s="1561">
        <f>H26</f>
        <v>100</v>
      </c>
      <c r="V26" s="1560" t="s">
        <v>11</v>
      </c>
      <c r="W26" s="1561">
        <f>J26</f>
        <v>100</v>
      </c>
      <c r="X26" s="1554"/>
      <c r="Y26" s="338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7"/>
      <c r="Q27" s="1147" t="str">
        <f t="shared" si="11"/>
        <v>道路级别</v>
      </c>
      <c r="R27" s="1555" t="s">
        <v>11</v>
      </c>
      <c r="S27" s="1556">
        <f>F27</f>
        <v>100</v>
      </c>
      <c r="T27" s="1555" t="s">
        <v>11</v>
      </c>
      <c r="U27" s="1556">
        <f>H27</f>
        <v>100</v>
      </c>
      <c r="V27" s="1555" t="s">
        <v>11</v>
      </c>
      <c r="W27" s="1556">
        <f>J27</f>
        <v>100</v>
      </c>
      <c r="X27" s="1557"/>
      <c r="Y27" s="338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7"/>
      <c r="Q29" s="1559">
        <f t="shared" si="11"/>
        <v>111</v>
      </c>
      <c r="R29" s="1560" t="s">
        <v>11</v>
      </c>
      <c r="S29" s="1561">
        <f t="shared" si="12"/>
        <v>100</v>
      </c>
      <c r="T29" s="1560" t="s">
        <v>11</v>
      </c>
      <c r="U29" s="1561">
        <f t="shared" si="13"/>
        <v>100</v>
      </c>
      <c r="V29" s="1560" t="s">
        <v>11</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7"/>
      <c r="Q30" s="1559">
        <f t="shared" si="11"/>
        <v>111</v>
      </c>
      <c r="R30" s="1560" t="s">
        <v>11</v>
      </c>
      <c r="S30" s="1561">
        <f t="shared" si="12"/>
        <v>100</v>
      </c>
      <c r="T30" s="1560" t="s">
        <v>11</v>
      </c>
      <c r="U30" s="1561">
        <f t="shared" si="13"/>
        <v>100</v>
      </c>
      <c r="V30" s="1560" t="s">
        <v>11</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7"/>
      <c r="Q31" s="1559">
        <f t="shared" si="11"/>
        <v>111</v>
      </c>
      <c r="R31" s="1560" t="s">
        <v>11</v>
      </c>
      <c r="S31" s="1561">
        <f t="shared" si="12"/>
        <v>100</v>
      </c>
      <c r="T31" s="1560" t="s">
        <v>11</v>
      </c>
      <c r="U31" s="1561">
        <f t="shared" si="13"/>
        <v>100</v>
      </c>
      <c r="V31" s="1560" t="s">
        <v>11</v>
      </c>
      <c r="W31" s="1561">
        <f t="shared" si="14"/>
        <v>100</v>
      </c>
      <c r="X31" s="1554"/>
      <c r="Y31" s="338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8" t="s">
        <v>550</v>
      </c>
      <c r="Q32" s="1559" t="str">
        <f t="shared" si="11"/>
        <v>建筑类型</v>
      </c>
      <c r="R32" s="1560" t="s">
        <v>11</v>
      </c>
      <c r="S32" s="1561">
        <f t="shared" si="12"/>
        <v>100</v>
      </c>
      <c r="T32" s="1560" t="s">
        <v>11</v>
      </c>
      <c r="U32" s="1561">
        <f t="shared" si="13"/>
        <v>100</v>
      </c>
      <c r="V32" s="1560" t="s">
        <v>11</v>
      </c>
      <c r="W32" s="1561">
        <f t="shared" si="14"/>
        <v>100</v>
      </c>
      <c r="X32" s="1554"/>
      <c r="Y32" s="338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9"/>
      <c r="Q33" s="1591" t="str">
        <f t="shared" si="11"/>
        <v>项目建筑规模</v>
      </c>
      <c r="R33" s="1564" t="s">
        <v>11</v>
      </c>
      <c r="S33" s="1565" t="e">
        <f t="shared" si="12"/>
        <v>#N/A</v>
      </c>
      <c r="T33" s="1564" t="s">
        <v>11</v>
      </c>
      <c r="U33" s="1565" t="e">
        <f t="shared" si="13"/>
        <v>#N/A</v>
      </c>
      <c r="V33" s="1564" t="s">
        <v>11</v>
      </c>
      <c r="W33" s="1565" t="e">
        <f t="shared" si="14"/>
        <v>#N/A</v>
      </c>
      <c r="X33" s="1566"/>
      <c r="Y33" s="338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9"/>
      <c r="Q34" s="1559" t="str">
        <f t="shared" si="11"/>
        <v>建筑结构</v>
      </c>
      <c r="R34" s="1560" t="s">
        <v>11</v>
      </c>
      <c r="S34" s="1561">
        <f t="shared" si="12"/>
        <v>100</v>
      </c>
      <c r="T34" s="1560" t="s">
        <v>11</v>
      </c>
      <c r="U34" s="1561">
        <f t="shared" si="13"/>
        <v>100</v>
      </c>
      <c r="V34" s="1560" t="s">
        <v>11</v>
      </c>
      <c r="W34" s="1561">
        <f t="shared" si="14"/>
        <v>100</v>
      </c>
      <c r="X34" s="1554"/>
      <c r="Y34" s="338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9"/>
      <c r="Q35" s="1559" t="str">
        <f t="shared" si="11"/>
        <v>建筑品质</v>
      </c>
      <c r="R35" s="1560" t="s">
        <v>11</v>
      </c>
      <c r="S35" s="1561">
        <f t="shared" si="12"/>
        <v>100</v>
      </c>
      <c r="T35" s="1560" t="s">
        <v>11</v>
      </c>
      <c r="U35" s="1561">
        <f t="shared" si="13"/>
        <v>100</v>
      </c>
      <c r="V35" s="1560" t="s">
        <v>11</v>
      </c>
      <c r="W35" s="1561">
        <f t="shared" si="14"/>
        <v>100</v>
      </c>
      <c r="X35" s="1554"/>
      <c r="Y35" s="338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9"/>
      <c r="Q36" s="1559" t="str">
        <f t="shared" si="11"/>
        <v>公共部分装修</v>
      </c>
      <c r="R36" s="1560" t="s">
        <v>11</v>
      </c>
      <c r="S36" s="1561">
        <f t="shared" si="12"/>
        <v>100</v>
      </c>
      <c r="T36" s="1560" t="s">
        <v>11</v>
      </c>
      <c r="U36" s="1561">
        <f t="shared" si="13"/>
        <v>100</v>
      </c>
      <c r="V36" s="1560" t="s">
        <v>11</v>
      </c>
      <c r="W36" s="1561">
        <f t="shared" si="14"/>
        <v>100</v>
      </c>
      <c r="X36" s="1554"/>
      <c r="Y36" s="338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9"/>
      <c r="Q37" s="1147" t="str">
        <f t="shared" si="11"/>
        <v>成新度</v>
      </c>
      <c r="R37" s="1555" t="s">
        <v>11</v>
      </c>
      <c r="S37" s="1556" t="e">
        <f t="shared" si="12"/>
        <v>#N/A</v>
      </c>
      <c r="T37" s="1555" t="s">
        <v>11</v>
      </c>
      <c r="U37" s="1556" t="e">
        <f t="shared" si="13"/>
        <v>#N/A</v>
      </c>
      <c r="V37" s="1555" t="s">
        <v>11</v>
      </c>
      <c r="W37" s="1556" t="e">
        <f t="shared" si="14"/>
        <v>#N/A</v>
      </c>
      <c r="X37" s="1557"/>
      <c r="Y37" s="338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9" t="s">
        <v>550</v>
      </c>
      <c r="Q38" s="1559" t="str">
        <f t="shared" si="11"/>
        <v>物业管理</v>
      </c>
      <c r="R38" s="1560" t="s">
        <v>11</v>
      </c>
      <c r="S38" s="1561">
        <f t="shared" si="12"/>
        <v>100</v>
      </c>
      <c r="T38" s="1560" t="s">
        <v>11</v>
      </c>
      <c r="U38" s="1561">
        <f t="shared" si="13"/>
        <v>100</v>
      </c>
      <c r="V38" s="1560" t="s">
        <v>11</v>
      </c>
      <c r="W38" s="1561">
        <f t="shared" si="14"/>
        <v>100</v>
      </c>
      <c r="X38" s="1554"/>
      <c r="Y38" s="338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9"/>
      <c r="Q39" s="1559" t="str">
        <f t="shared" si="11"/>
        <v>市政基础设施</v>
      </c>
      <c r="R39" s="1560" t="s">
        <v>11</v>
      </c>
      <c r="S39" s="1561">
        <f t="shared" si="12"/>
        <v>100</v>
      </c>
      <c r="T39" s="1560" t="s">
        <v>11</v>
      </c>
      <c r="U39" s="1561">
        <f t="shared" si="13"/>
        <v>100</v>
      </c>
      <c r="V39" s="1560" t="s">
        <v>11</v>
      </c>
      <c r="W39" s="1561">
        <f t="shared" si="14"/>
        <v>100</v>
      </c>
      <c r="X39" s="1554"/>
      <c r="Y39" s="338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9"/>
      <c r="Q40" s="1559" t="str">
        <f t="shared" si="11"/>
        <v>房型</v>
      </c>
      <c r="R40" s="1560" t="s">
        <v>11</v>
      </c>
      <c r="S40" s="1561">
        <f t="shared" si="12"/>
        <v>100</v>
      </c>
      <c r="T40" s="1560" t="s">
        <v>11</v>
      </c>
      <c r="U40" s="1561">
        <f t="shared" si="13"/>
        <v>100</v>
      </c>
      <c r="V40" s="1560" t="s">
        <v>11</v>
      </c>
      <c r="W40" s="1561">
        <f t="shared" si="14"/>
        <v>100</v>
      </c>
      <c r="X40" s="1554"/>
      <c r="Y40" s="338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9"/>
      <c r="Q41" s="1591" t="str">
        <f t="shared" si="11"/>
        <v>单套/主力户型建筑面积</v>
      </c>
      <c r="R41" s="1564" t="s">
        <v>11</v>
      </c>
      <c r="S41" s="1565">
        <f t="shared" si="12"/>
        <v>100</v>
      </c>
      <c r="T41" s="1564" t="s">
        <v>11</v>
      </c>
      <c r="U41" s="1565">
        <f t="shared" si="13"/>
        <v>100</v>
      </c>
      <c r="V41" s="1564" t="s">
        <v>11</v>
      </c>
      <c r="W41" s="1565">
        <f t="shared" si="14"/>
        <v>100</v>
      </c>
      <c r="X41" s="1566"/>
      <c r="Y41" s="338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9"/>
      <c r="Q42" s="1559" t="str">
        <f t="shared" si="11"/>
        <v>内部装修</v>
      </c>
      <c r="R42" s="1560" t="s">
        <v>11</v>
      </c>
      <c r="S42" s="1561">
        <f t="shared" si="12"/>
        <v>100</v>
      </c>
      <c r="T42" s="1560" t="s">
        <v>11</v>
      </c>
      <c r="U42" s="1561">
        <f t="shared" si="13"/>
        <v>100</v>
      </c>
      <c r="V42" s="1560" t="s">
        <v>11</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9"/>
      <c r="Q43" s="1559" t="str">
        <f t="shared" si="11"/>
        <v>内部装修维护情况</v>
      </c>
      <c r="R43" s="1560" t="s">
        <v>11</v>
      </c>
      <c r="S43" s="1561">
        <f t="shared" si="12"/>
        <v>100</v>
      </c>
      <c r="T43" s="1560" t="s">
        <v>11</v>
      </c>
      <c r="U43" s="1561">
        <f t="shared" si="13"/>
        <v>100</v>
      </c>
      <c r="V43" s="1560" t="s">
        <v>11</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9"/>
      <c r="Q44" s="1147">
        <f t="shared" si="11"/>
        <v>111</v>
      </c>
      <c r="R44" s="1555" t="s">
        <v>11</v>
      </c>
      <c r="S44" s="1556">
        <f t="shared" si="12"/>
        <v>100</v>
      </c>
      <c r="T44" s="1555" t="s">
        <v>11</v>
      </c>
      <c r="U44" s="1556">
        <f t="shared" si="13"/>
        <v>100</v>
      </c>
      <c r="V44" s="1555" t="s">
        <v>11</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9"/>
      <c r="Q45" s="1559">
        <f t="shared" si="11"/>
        <v>111</v>
      </c>
      <c r="R45" s="1560" t="s">
        <v>11</v>
      </c>
      <c r="S45" s="1561">
        <f t="shared" si="12"/>
        <v>100</v>
      </c>
      <c r="T45" s="1560" t="s">
        <v>11</v>
      </c>
      <c r="U45" s="1561">
        <f t="shared" si="13"/>
        <v>100</v>
      </c>
      <c r="V45" s="1560" t="s">
        <v>11</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0"/>
      <c r="Q46" s="1559">
        <f t="shared" si="11"/>
        <v>111</v>
      </c>
      <c r="R46" s="1560" t="s">
        <v>10</v>
      </c>
      <c r="S46" s="1561">
        <f t="shared" si="12"/>
        <v>100</v>
      </c>
      <c r="T46" s="1560" t="s">
        <v>10</v>
      </c>
      <c r="U46" s="1561">
        <f t="shared" si="13"/>
        <v>100</v>
      </c>
      <c r="V46" s="1560" t="s">
        <v>10</v>
      </c>
      <c r="W46" s="1561">
        <f t="shared" si="14"/>
        <v>100</v>
      </c>
      <c r="X46" s="1554"/>
      <c r="Y46" s="3470"/>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52" t="str">
        <f>A47</f>
        <v>成交单价（元/平方米）</v>
      </c>
      <c r="Q47" s="3352"/>
      <c r="R47" s="3469">
        <f>E47</f>
        <v>0</v>
      </c>
      <c r="S47" s="3469"/>
      <c r="T47" s="3469">
        <f>G47</f>
        <v>0</v>
      </c>
      <c r="U47" s="3469"/>
      <c r="V47" s="3469">
        <f>I47</f>
        <v>0</v>
      </c>
      <c r="W47" s="3469"/>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52" t="str">
        <f>A48</f>
        <v>比较价格（元/平方米）</v>
      </c>
      <c r="Q48" s="3352"/>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46"/>
      <c r="Y48" s="1546"/>
      <c r="Z48" s="1546"/>
      <c r="AA48" s="1546"/>
      <c r="AB48" s="1546"/>
      <c r="AC48" s="1546"/>
    </row>
    <row r="49" spans="1:29" ht="15.75" thickBot="1">
      <c r="A49" s="621" t="s">
        <v>2927</v>
      </c>
      <c r="B49" s="622"/>
      <c r="C49" s="2601" t="e">
        <f>R49</f>
        <v>#DIV/0!</v>
      </c>
      <c r="D49" s="2601"/>
      <c r="E49" s="2601"/>
      <c r="F49" s="2601"/>
      <c r="G49" s="2601"/>
      <c r="H49" s="2601"/>
      <c r="I49" s="2601"/>
      <c r="J49" s="2601"/>
      <c r="K49" s="1594"/>
      <c r="L49" s="2130"/>
      <c r="M49" s="2131"/>
      <c r="N49" s="2131"/>
      <c r="O49" s="2131"/>
      <c r="P49" s="3349" t="str">
        <f>A49</f>
        <v>估价对象XX用房的比较价格（楼面单价，元/平方米）</v>
      </c>
      <c r="Q49" s="3350"/>
      <c r="R49" s="3468" t="e">
        <f>IF(F1="售价",ROUND(AVERAGE(R48:V48),0),ROUND(AVERAGE(R48:V48),1))</f>
        <v>#DIV/0!</v>
      </c>
      <c r="S49" s="3468"/>
      <c r="T49" s="3468"/>
      <c r="U49" s="3468"/>
      <c r="V49" s="3468"/>
      <c r="W49" s="346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58" t="s">
        <v>522</v>
      </c>
      <c r="D4" s="3359"/>
      <c r="E4" s="3392" t="s">
        <v>523</v>
      </c>
      <c r="F4" s="3393"/>
      <c r="G4" s="3358" t="s">
        <v>524</v>
      </c>
      <c r="H4" s="3359"/>
      <c r="I4" s="3358" t="s">
        <v>525</v>
      </c>
      <c r="J4" s="3359"/>
      <c r="K4" s="514" t="s">
        <v>526</v>
      </c>
      <c r="L4" s="2119"/>
      <c r="M4" s="2120"/>
      <c r="N4" s="2120"/>
      <c r="O4" s="2120"/>
      <c r="P4" s="3360" t="s">
        <v>527</v>
      </c>
      <c r="Q4" s="3361"/>
      <c r="R4" s="3366" t="s">
        <v>523</v>
      </c>
      <c r="S4" s="3367"/>
      <c r="T4" s="3366" t="s">
        <v>524</v>
      </c>
      <c r="U4" s="3367"/>
      <c r="V4" s="3353" t="s">
        <v>525</v>
      </c>
      <c r="W4" s="3353"/>
      <c r="X4" s="1554"/>
      <c r="Y4" s="3366" t="s">
        <v>527</v>
      </c>
      <c r="Z4" s="3367"/>
      <c r="AA4" s="3355" t="s">
        <v>523</v>
      </c>
      <c r="AB4" s="3353" t="s">
        <v>524</v>
      </c>
      <c r="AC4" s="3355" t="s">
        <v>525</v>
      </c>
    </row>
    <row r="5" spans="1:29" ht="15">
      <c r="A5" s="515"/>
      <c r="B5" s="516"/>
      <c r="C5" s="3374" t="s">
        <v>2921</v>
      </c>
      <c r="D5" s="3375"/>
      <c r="E5" s="3394" t="s">
        <v>2922</v>
      </c>
      <c r="F5" s="3395"/>
      <c r="G5" s="3374" t="s">
        <v>2923</v>
      </c>
      <c r="H5" s="3375"/>
      <c r="I5" s="3374" t="s">
        <v>2924</v>
      </c>
      <c r="J5" s="3375"/>
      <c r="K5" s="514"/>
      <c r="L5" s="2119"/>
      <c r="M5" s="2120"/>
      <c r="N5" s="2120"/>
      <c r="O5" s="2120"/>
      <c r="P5" s="3362"/>
      <c r="Q5" s="3363"/>
      <c r="R5" s="3368"/>
      <c r="S5" s="3369"/>
      <c r="T5" s="3368"/>
      <c r="U5" s="3369"/>
      <c r="V5" s="3353"/>
      <c r="W5" s="3353"/>
      <c r="X5" s="1554"/>
      <c r="Y5" s="3368"/>
      <c r="Z5" s="3369"/>
      <c r="AA5" s="3356"/>
      <c r="AB5" s="3353"/>
      <c r="AC5" s="3356"/>
    </row>
    <row r="6" spans="1:29" ht="15.75" thickBot="1">
      <c r="A6" s="517"/>
      <c r="B6" s="518"/>
      <c r="C6" s="3372" t="s">
        <v>2925</v>
      </c>
      <c r="D6" s="3373"/>
      <c r="E6" s="3390" t="s">
        <v>2925</v>
      </c>
      <c r="F6" s="3391"/>
      <c r="G6" s="3372" t="s">
        <v>2925</v>
      </c>
      <c r="H6" s="3373"/>
      <c r="I6" s="3372" t="s">
        <v>2925</v>
      </c>
      <c r="J6" s="3373"/>
      <c r="K6" s="514" t="s">
        <v>528</v>
      </c>
      <c r="L6" s="2119"/>
      <c r="M6" s="2120"/>
      <c r="N6" s="2120"/>
      <c r="O6" s="2120"/>
      <c r="P6" s="3364"/>
      <c r="Q6" s="3365"/>
      <c r="R6" s="3368"/>
      <c r="S6" s="3369"/>
      <c r="T6" s="3370"/>
      <c r="U6" s="3371"/>
      <c r="V6" s="3353"/>
      <c r="W6" s="3353"/>
      <c r="X6" s="1554"/>
      <c r="Y6" s="3370"/>
      <c r="Z6" s="3371"/>
      <c r="AA6" s="3357"/>
      <c r="AB6" s="3353"/>
      <c r="AC6" s="3357"/>
    </row>
    <row r="7" spans="1:29" s="1216" customFormat="1" ht="15.75" thickBot="1">
      <c r="A7" s="2868"/>
      <c r="B7" s="2875" t="s">
        <v>529</v>
      </c>
      <c r="C7" s="519">
        <f>'数据-取费表'!B2</f>
        <v>43559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3" t="s">
        <v>530</v>
      </c>
      <c r="Q7" s="3385"/>
      <c r="R7" s="1555" t="s">
        <v>8</v>
      </c>
      <c r="S7" s="1556">
        <f t="shared" ref="S7:S15" si="0">F7</f>
        <v>0</v>
      </c>
      <c r="T7" s="1555" t="s">
        <v>8</v>
      </c>
      <c r="U7" s="1556">
        <f t="shared" ref="U7:U15" si="1">H7</f>
        <v>0</v>
      </c>
      <c r="V7" s="1555" t="s">
        <v>8</v>
      </c>
      <c r="W7" s="1556">
        <f t="shared" ref="W7:W15"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3" t="s">
        <v>533</v>
      </c>
      <c r="Q8" s="3384"/>
      <c r="R8" s="1555" t="s">
        <v>8</v>
      </c>
      <c r="S8" s="1556">
        <f t="shared" si="0"/>
        <v>0</v>
      </c>
      <c r="T8" s="1555" t="s">
        <v>8</v>
      </c>
      <c r="U8" s="1556">
        <f t="shared" si="1"/>
        <v>0</v>
      </c>
      <c r="V8" s="1555" t="s">
        <v>8</v>
      </c>
      <c r="W8" s="1556">
        <f t="shared" si="2"/>
        <v>0</v>
      </c>
      <c r="X8" s="1557"/>
      <c r="Y8" s="3383" t="s">
        <v>533</v>
      </c>
      <c r="Z8" s="3384"/>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2" t="s">
        <v>535</v>
      </c>
      <c r="Q9" s="1147" t="str">
        <f t="shared" ref="Q9:Q15" si="6">B9</f>
        <v>用途</v>
      </c>
      <c r="R9" s="1555" t="s">
        <v>8</v>
      </c>
      <c r="S9" s="1556">
        <f t="shared" si="0"/>
        <v>100</v>
      </c>
      <c r="T9" s="1555" t="s">
        <v>8</v>
      </c>
      <c r="U9" s="1556">
        <f t="shared" si="1"/>
        <v>100</v>
      </c>
      <c r="V9" s="1555" t="s">
        <v>8</v>
      </c>
      <c r="W9" s="1556">
        <f t="shared" si="2"/>
        <v>100</v>
      </c>
      <c r="X9" s="1557"/>
      <c r="Y9" s="329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2"/>
      <c r="Q11" s="1147" t="str">
        <f t="shared" si="6"/>
        <v>容积率</v>
      </c>
      <c r="R11" s="1555" t="s">
        <v>8</v>
      </c>
      <c r="S11" s="1556" t="e">
        <f t="shared" si="0"/>
        <v>#N/A</v>
      </c>
      <c r="T11" s="1555" t="s">
        <v>8</v>
      </c>
      <c r="U11" s="1556" t="e">
        <f t="shared" si="1"/>
        <v>#N/A</v>
      </c>
      <c r="V11" s="1555" t="s">
        <v>8</v>
      </c>
      <c r="W11" s="1556" t="e">
        <f t="shared" si="2"/>
        <v>#N/A</v>
      </c>
      <c r="X11" s="1557"/>
      <c r="Y11" s="329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2"/>
      <c r="Q12" s="1147">
        <f t="shared" si="6"/>
        <v>111</v>
      </c>
      <c r="R12" s="1555" t="s">
        <v>8</v>
      </c>
      <c r="S12" s="1556">
        <f t="shared" si="0"/>
        <v>100</v>
      </c>
      <c r="T12" s="1555" t="s">
        <v>8</v>
      </c>
      <c r="U12" s="1556">
        <f t="shared" si="1"/>
        <v>100</v>
      </c>
      <c r="V12" s="1555" t="s">
        <v>8</v>
      </c>
      <c r="W12" s="1556">
        <f t="shared" si="2"/>
        <v>100</v>
      </c>
      <c r="X12" s="1557"/>
      <c r="Y12" s="329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2"/>
      <c r="Q13" s="1147">
        <f t="shared" si="6"/>
        <v>111</v>
      </c>
      <c r="R13" s="1555" t="s">
        <v>8</v>
      </c>
      <c r="S13" s="1556">
        <f t="shared" si="0"/>
        <v>100</v>
      </c>
      <c r="T13" s="1555" t="s">
        <v>8</v>
      </c>
      <c r="U13" s="1556">
        <f t="shared" si="1"/>
        <v>100</v>
      </c>
      <c r="V13" s="1555" t="s">
        <v>8</v>
      </c>
      <c r="W13" s="1556">
        <f t="shared" si="2"/>
        <v>100</v>
      </c>
      <c r="X13" s="1557"/>
      <c r="Y13" s="329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2"/>
      <c r="Q14" s="1147">
        <f t="shared" si="6"/>
        <v>111</v>
      </c>
      <c r="R14" s="1555" t="s">
        <v>8</v>
      </c>
      <c r="S14" s="1556">
        <f t="shared" si="0"/>
        <v>100</v>
      </c>
      <c r="T14" s="1555" t="s">
        <v>8</v>
      </c>
      <c r="U14" s="1556">
        <f t="shared" si="1"/>
        <v>100</v>
      </c>
      <c r="V14" s="1555" t="s">
        <v>8</v>
      </c>
      <c r="W14" s="1556">
        <f t="shared" si="2"/>
        <v>100</v>
      </c>
      <c r="X14" s="1557"/>
      <c r="Y14" s="3298"/>
      <c r="Z14" s="1146">
        <f t="shared" si="7"/>
        <v>111</v>
      </c>
      <c r="AA14" s="1558">
        <f t="shared" si="3"/>
        <v>1</v>
      </c>
      <c r="AB14" s="1558">
        <f t="shared" si="4"/>
        <v>1</v>
      </c>
      <c r="AC14" s="1558">
        <f t="shared" si="5"/>
        <v>1</v>
      </c>
    </row>
    <row r="15" spans="1:29" ht="71.25">
      <c r="A15" s="2866" t="s">
        <v>2754</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6" t="s">
        <v>540</v>
      </c>
      <c r="Q15" s="1559" t="str">
        <f t="shared" si="6"/>
        <v>商业繁华度</v>
      </c>
      <c r="R15" s="1560" t="s">
        <v>8</v>
      </c>
      <c r="S15" s="1561">
        <f t="shared" si="0"/>
        <v>100</v>
      </c>
      <c r="T15" s="1560" t="s">
        <v>8</v>
      </c>
      <c r="U15" s="1561">
        <f t="shared" si="1"/>
        <v>100</v>
      </c>
      <c r="V15" s="1560" t="s">
        <v>8</v>
      </c>
      <c r="W15" s="1561">
        <f t="shared" si="2"/>
        <v>100</v>
      </c>
      <c r="X15" s="1554"/>
      <c r="Y15" s="338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7"/>
      <c r="Q18" s="1559"/>
      <c r="R18" s="1560"/>
      <c r="S18" s="1561"/>
      <c r="T18" s="1560"/>
      <c r="U18" s="1561"/>
      <c r="V18" s="1560"/>
      <c r="W18" s="1561"/>
      <c r="X18" s="1554"/>
      <c r="Y18" s="3387"/>
      <c r="Z18" s="1562"/>
      <c r="AA18" s="1563">
        <v>1</v>
      </c>
      <c r="AB18" s="1563">
        <v>1</v>
      </c>
      <c r="AC18" s="1563">
        <v>1</v>
      </c>
    </row>
    <row r="19" spans="1:29" ht="42.75">
      <c r="A19" s="532"/>
      <c r="B19" s="2565" t="s">
        <v>2546</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7"/>
      <c r="Q20" s="1559"/>
      <c r="R20" s="1560"/>
      <c r="S20" s="1561"/>
      <c r="T20" s="1560"/>
      <c r="U20" s="1561"/>
      <c r="V20" s="1560"/>
      <c r="W20" s="1561"/>
      <c r="X20" s="1554"/>
      <c r="Y20" s="3387"/>
      <c r="Z20" s="1562"/>
      <c r="AA20" s="1563">
        <v>1</v>
      </c>
      <c r="AB20" s="1563">
        <v>1</v>
      </c>
      <c r="AC20" s="1563">
        <v>1</v>
      </c>
    </row>
    <row r="21" spans="1:29" ht="28.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7"/>
      <c r="Q21" s="2544" t="str">
        <f>B21</f>
        <v>基础设施水平</v>
      </c>
      <c r="R21" s="1560" t="s">
        <v>8</v>
      </c>
      <c r="S21" s="1561">
        <f>F21</f>
        <v>100</v>
      </c>
      <c r="T21" s="1560" t="s">
        <v>8</v>
      </c>
      <c r="U21" s="1561">
        <f>H21</f>
        <v>100</v>
      </c>
      <c r="V21" s="1560" t="s">
        <v>8</v>
      </c>
      <c r="W21" s="1561">
        <f>J21</f>
        <v>100</v>
      </c>
      <c r="X21" s="2546"/>
      <c r="Y21" s="338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7"/>
      <c r="Q22" s="2544"/>
      <c r="R22" s="1560"/>
      <c r="S22" s="1561"/>
      <c r="T22" s="1560"/>
      <c r="U22" s="1561"/>
      <c r="V22" s="1560"/>
      <c r="W22" s="1561"/>
      <c r="X22" s="2546"/>
      <c r="Y22" s="3387"/>
      <c r="Z22" s="2545"/>
      <c r="AA22" s="1563">
        <v>1</v>
      </c>
      <c r="AB22" s="1563">
        <v>1</v>
      </c>
      <c r="AC22" s="1563">
        <v>1</v>
      </c>
    </row>
    <row r="23" spans="1:29" ht="57">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7"/>
      <c r="Q23" s="1559" t="str">
        <f>B23</f>
        <v>自然及人文环境</v>
      </c>
      <c r="R23" s="1560" t="s">
        <v>8</v>
      </c>
      <c r="S23" s="1561">
        <f>F23</f>
        <v>100</v>
      </c>
      <c r="T23" s="1560" t="s">
        <v>8</v>
      </c>
      <c r="U23" s="1561">
        <f>H23</f>
        <v>100</v>
      </c>
      <c r="V23" s="1560" t="s">
        <v>8</v>
      </c>
      <c r="W23" s="1561">
        <f>J23</f>
        <v>100</v>
      </c>
      <c r="X23" s="1554"/>
      <c r="Y23" s="338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7"/>
      <c r="Q24" s="1559"/>
      <c r="R24" s="1560"/>
      <c r="S24" s="1561"/>
      <c r="T24" s="1560"/>
      <c r="U24" s="1561"/>
      <c r="V24" s="1560"/>
      <c r="W24" s="1561"/>
      <c r="X24" s="1554"/>
      <c r="Y24" s="338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7"/>
      <c r="Q25" s="1559" t="str">
        <f t="shared" ref="Q25:Q46" si="11">B25</f>
        <v>临街状况</v>
      </c>
      <c r="R25" s="1560" t="s">
        <v>8</v>
      </c>
      <c r="S25" s="1561">
        <f>F25</f>
        <v>100</v>
      </c>
      <c r="T25" s="1560" t="s">
        <v>8</v>
      </c>
      <c r="U25" s="1561">
        <f>H25</f>
        <v>100</v>
      </c>
      <c r="V25" s="1560" t="s">
        <v>8</v>
      </c>
      <c r="W25" s="1561">
        <f>J25</f>
        <v>100</v>
      </c>
      <c r="X25" s="1554"/>
      <c r="Y25" s="338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7"/>
      <c r="Q26" s="1559" t="str">
        <f t="shared" si="11"/>
        <v>平面位置/可视性</v>
      </c>
      <c r="R26" s="1560" t="s">
        <v>8</v>
      </c>
      <c r="S26" s="1561">
        <f>F26</f>
        <v>100</v>
      </c>
      <c r="T26" s="1560" t="s">
        <v>8</v>
      </c>
      <c r="U26" s="1561">
        <f>H26</f>
        <v>100</v>
      </c>
      <c r="V26" s="1560" t="s">
        <v>8</v>
      </c>
      <c r="W26" s="1561">
        <f>J26</f>
        <v>100</v>
      </c>
      <c r="X26" s="1554"/>
      <c r="Y26" s="338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7"/>
      <c r="Q27" s="1147" t="str">
        <f t="shared" si="11"/>
        <v>人流量</v>
      </c>
      <c r="R27" s="1555" t="s">
        <v>8</v>
      </c>
      <c r="S27" s="1556">
        <f>F27</f>
        <v>100</v>
      </c>
      <c r="T27" s="1555" t="s">
        <v>8</v>
      </c>
      <c r="U27" s="1556">
        <f>H27</f>
        <v>100</v>
      </c>
      <c r="V27" s="1555" t="s">
        <v>8</v>
      </c>
      <c r="W27" s="1556">
        <f>J27</f>
        <v>100</v>
      </c>
      <c r="X27" s="1557"/>
      <c r="Y27" s="338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7"/>
      <c r="Q29" s="1559">
        <f t="shared" si="11"/>
        <v>111</v>
      </c>
      <c r="R29" s="1560" t="s">
        <v>8</v>
      </c>
      <c r="S29" s="1561">
        <f t="shared" si="12"/>
        <v>100</v>
      </c>
      <c r="T29" s="1560" t="s">
        <v>8</v>
      </c>
      <c r="U29" s="1561">
        <f t="shared" si="13"/>
        <v>100</v>
      </c>
      <c r="V29" s="1560" t="s">
        <v>8</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8" t="s">
        <v>550</v>
      </c>
      <c r="Q32" s="1559" t="str">
        <f t="shared" si="11"/>
        <v>商业类型</v>
      </c>
      <c r="R32" s="1560" t="s">
        <v>8</v>
      </c>
      <c r="S32" s="1561">
        <f t="shared" si="12"/>
        <v>100</v>
      </c>
      <c r="T32" s="1560" t="s">
        <v>8</v>
      </c>
      <c r="U32" s="1561">
        <f t="shared" si="13"/>
        <v>100</v>
      </c>
      <c r="V32" s="1560" t="s">
        <v>8</v>
      </c>
      <c r="W32" s="1561">
        <f t="shared" si="14"/>
        <v>100</v>
      </c>
      <c r="X32" s="1554"/>
      <c r="Y32" s="338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9"/>
      <c r="Q33" s="1591" t="str">
        <f t="shared" si="11"/>
        <v>项目建筑规模</v>
      </c>
      <c r="R33" s="1564" t="s">
        <v>8</v>
      </c>
      <c r="S33" s="1565" t="e">
        <f t="shared" si="12"/>
        <v>#N/A</v>
      </c>
      <c r="T33" s="1564" t="s">
        <v>8</v>
      </c>
      <c r="U33" s="1565" t="e">
        <f t="shared" si="13"/>
        <v>#N/A</v>
      </c>
      <c r="V33" s="1564" t="s">
        <v>8</v>
      </c>
      <c r="W33" s="1565" t="e">
        <f t="shared" si="14"/>
        <v>#N/A</v>
      </c>
      <c r="X33" s="1566"/>
      <c r="Y33" s="338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9"/>
      <c r="Q34" s="1559" t="str">
        <f t="shared" si="11"/>
        <v>建筑结构</v>
      </c>
      <c r="R34" s="1560" t="s">
        <v>8</v>
      </c>
      <c r="S34" s="1561">
        <f t="shared" si="12"/>
        <v>100</v>
      </c>
      <c r="T34" s="1560" t="s">
        <v>8</v>
      </c>
      <c r="U34" s="1561">
        <f t="shared" si="13"/>
        <v>100</v>
      </c>
      <c r="V34" s="1560" t="s">
        <v>8</v>
      </c>
      <c r="W34" s="1561">
        <f t="shared" si="14"/>
        <v>100</v>
      </c>
      <c r="X34" s="1554"/>
      <c r="Y34" s="338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9"/>
      <c r="Q35" s="1559" t="str">
        <f t="shared" si="11"/>
        <v>公共部分装修</v>
      </c>
      <c r="R35" s="1560" t="s">
        <v>8</v>
      </c>
      <c r="S35" s="1561">
        <f t="shared" si="12"/>
        <v>100</v>
      </c>
      <c r="T35" s="1560" t="s">
        <v>8</v>
      </c>
      <c r="U35" s="1561">
        <f t="shared" si="13"/>
        <v>100</v>
      </c>
      <c r="V35" s="1560" t="s">
        <v>8</v>
      </c>
      <c r="W35" s="1561">
        <f t="shared" si="14"/>
        <v>100</v>
      </c>
      <c r="X35" s="1554"/>
      <c r="Y35" s="338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9"/>
      <c r="Q36" s="1559" t="str">
        <f t="shared" si="11"/>
        <v>成新度</v>
      </c>
      <c r="R36" s="1560" t="s">
        <v>8</v>
      </c>
      <c r="S36" s="1561" t="e">
        <f t="shared" si="12"/>
        <v>#N/A</v>
      </c>
      <c r="T36" s="1560" t="s">
        <v>8</v>
      </c>
      <c r="U36" s="1561" t="e">
        <f t="shared" si="13"/>
        <v>#N/A</v>
      </c>
      <c r="V36" s="1560" t="s">
        <v>8</v>
      </c>
      <c r="W36" s="1561" t="e">
        <f t="shared" si="14"/>
        <v>#N/A</v>
      </c>
      <c r="X36" s="1554"/>
      <c r="Y36" s="338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9"/>
      <c r="Q37" s="1147" t="str">
        <f t="shared" si="11"/>
        <v>市政基础设施</v>
      </c>
      <c r="R37" s="1555" t="s">
        <v>8</v>
      </c>
      <c r="S37" s="1556">
        <f t="shared" si="12"/>
        <v>100</v>
      </c>
      <c r="T37" s="1555" t="s">
        <v>8</v>
      </c>
      <c r="U37" s="1556">
        <f t="shared" si="13"/>
        <v>100</v>
      </c>
      <c r="V37" s="1555" t="s">
        <v>8</v>
      </c>
      <c r="W37" s="1556">
        <f t="shared" si="14"/>
        <v>100</v>
      </c>
      <c r="X37" s="1557"/>
      <c r="Y37" s="338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9" t="s">
        <v>766</v>
      </c>
      <c r="Q38" s="1559" t="str">
        <f t="shared" si="11"/>
        <v>业态</v>
      </c>
      <c r="R38" s="1560" t="s">
        <v>8</v>
      </c>
      <c r="S38" s="1561">
        <f t="shared" si="12"/>
        <v>100</v>
      </c>
      <c r="T38" s="1560" t="s">
        <v>8</v>
      </c>
      <c r="U38" s="1561">
        <f t="shared" si="13"/>
        <v>100</v>
      </c>
      <c r="V38" s="1560" t="s">
        <v>8</v>
      </c>
      <c r="W38" s="1561">
        <f t="shared" si="14"/>
        <v>100</v>
      </c>
      <c r="X38" s="1554"/>
      <c r="Y38" s="338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9"/>
      <c r="Q39" s="1559" t="str">
        <f t="shared" si="11"/>
        <v>层高</v>
      </c>
      <c r="R39" s="1560" t="s">
        <v>8</v>
      </c>
      <c r="S39" s="1561">
        <f t="shared" si="12"/>
        <v>100</v>
      </c>
      <c r="T39" s="1560" t="s">
        <v>8</v>
      </c>
      <c r="U39" s="1561">
        <f t="shared" si="13"/>
        <v>100</v>
      </c>
      <c r="V39" s="1560" t="s">
        <v>8</v>
      </c>
      <c r="W39" s="1561">
        <f t="shared" si="14"/>
        <v>100</v>
      </c>
      <c r="X39" s="1554"/>
      <c r="Y39" s="338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9"/>
      <c r="Q40" s="1559" t="str">
        <f t="shared" si="11"/>
        <v>单套建筑面积</v>
      </c>
      <c r="R40" s="1560" t="s">
        <v>8</v>
      </c>
      <c r="S40" s="1561">
        <f t="shared" si="12"/>
        <v>100</v>
      </c>
      <c r="T40" s="1560" t="s">
        <v>8</v>
      </c>
      <c r="U40" s="1561">
        <f t="shared" si="13"/>
        <v>100</v>
      </c>
      <c r="V40" s="1560" t="s">
        <v>8</v>
      </c>
      <c r="W40" s="1561">
        <f t="shared" si="14"/>
        <v>100</v>
      </c>
      <c r="X40" s="1554"/>
      <c r="Y40" s="338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9"/>
      <c r="Q41" s="1591" t="str">
        <f t="shared" si="11"/>
        <v>进深比</v>
      </c>
      <c r="R41" s="1564" t="s">
        <v>8</v>
      </c>
      <c r="S41" s="1565">
        <f t="shared" si="12"/>
        <v>100</v>
      </c>
      <c r="T41" s="1564" t="s">
        <v>8</v>
      </c>
      <c r="U41" s="1565">
        <f t="shared" si="13"/>
        <v>100</v>
      </c>
      <c r="V41" s="1564" t="s">
        <v>8</v>
      </c>
      <c r="W41" s="1565">
        <f t="shared" si="14"/>
        <v>100</v>
      </c>
      <c r="X41" s="1566"/>
      <c r="Y41" s="338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9"/>
      <c r="Q42" s="1559" t="str">
        <f t="shared" si="11"/>
        <v>内部装修</v>
      </c>
      <c r="R42" s="1560" t="s">
        <v>8</v>
      </c>
      <c r="S42" s="1561">
        <f t="shared" si="12"/>
        <v>100</v>
      </c>
      <c r="T42" s="1560" t="s">
        <v>8</v>
      </c>
      <c r="U42" s="1561">
        <f t="shared" si="13"/>
        <v>100</v>
      </c>
      <c r="V42" s="1560" t="s">
        <v>8</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9"/>
      <c r="Q43" s="1559" t="str">
        <f t="shared" si="11"/>
        <v>内部装修维护情况</v>
      </c>
      <c r="R43" s="1560" t="s">
        <v>8</v>
      </c>
      <c r="S43" s="1561">
        <f t="shared" si="12"/>
        <v>100</v>
      </c>
      <c r="T43" s="1560" t="s">
        <v>8</v>
      </c>
      <c r="U43" s="1561">
        <f t="shared" si="13"/>
        <v>100</v>
      </c>
      <c r="V43" s="1560" t="s">
        <v>8</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9"/>
      <c r="Q44" s="1147">
        <f t="shared" si="11"/>
        <v>111</v>
      </c>
      <c r="R44" s="1555" t="s">
        <v>8</v>
      </c>
      <c r="S44" s="1556">
        <f t="shared" si="12"/>
        <v>100</v>
      </c>
      <c r="T44" s="1555" t="s">
        <v>8</v>
      </c>
      <c r="U44" s="1556">
        <f t="shared" si="13"/>
        <v>100</v>
      </c>
      <c r="V44" s="1555" t="s">
        <v>8</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9"/>
      <c r="Q45" s="1559">
        <f t="shared" si="11"/>
        <v>111</v>
      </c>
      <c r="R45" s="1560" t="s">
        <v>8</v>
      </c>
      <c r="S45" s="1561">
        <f t="shared" si="12"/>
        <v>100</v>
      </c>
      <c r="T45" s="1560" t="s">
        <v>8</v>
      </c>
      <c r="U45" s="1561">
        <f t="shared" si="13"/>
        <v>100</v>
      </c>
      <c r="V45" s="1560" t="s">
        <v>8</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0"/>
      <c r="Q46" s="1559">
        <f t="shared" si="11"/>
        <v>111</v>
      </c>
      <c r="R46" s="1560" t="s">
        <v>8</v>
      </c>
      <c r="S46" s="1561">
        <f t="shared" si="12"/>
        <v>100</v>
      </c>
      <c r="T46" s="1560" t="s">
        <v>8</v>
      </c>
      <c r="U46" s="1561">
        <f t="shared" si="13"/>
        <v>100</v>
      </c>
      <c r="V46" s="1560" t="s">
        <v>8</v>
      </c>
      <c r="W46" s="1561">
        <f t="shared" si="14"/>
        <v>100</v>
      </c>
      <c r="X46" s="1554"/>
      <c r="Y46" s="347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52" t="str">
        <f>A47</f>
        <v>成交单价（元/平方米）</v>
      </c>
      <c r="Q47" s="3352"/>
      <c r="R47" s="3469">
        <f>E47</f>
        <v>0</v>
      </c>
      <c r="S47" s="3469"/>
      <c r="T47" s="3469">
        <f>G47</f>
        <v>0</v>
      </c>
      <c r="U47" s="3469"/>
      <c r="V47" s="3469">
        <f>I47</f>
        <v>0</v>
      </c>
      <c r="W47" s="3469"/>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52" t="str">
        <f>A48</f>
        <v>比较价格（元/平方米）</v>
      </c>
      <c r="Q48" s="3352"/>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46"/>
      <c r="Y48" s="1546"/>
      <c r="Z48" s="1546"/>
      <c r="AA48" s="1546"/>
      <c r="AB48" s="1546"/>
      <c r="AC48" s="1546"/>
    </row>
    <row r="49" spans="1:29" ht="15.75" thickBot="1">
      <c r="A49" s="621" t="s">
        <v>2927</v>
      </c>
      <c r="B49" s="622"/>
      <c r="C49" s="2601" t="e">
        <f>R49</f>
        <v>#DIV/0!</v>
      </c>
      <c r="D49" s="2601"/>
      <c r="E49" s="2601"/>
      <c r="F49" s="2601"/>
      <c r="G49" s="2601"/>
      <c r="H49" s="2601"/>
      <c r="I49" s="2601"/>
      <c r="J49" s="2601"/>
      <c r="K49" s="1599"/>
      <c r="L49" s="2130"/>
      <c r="M49" s="2131"/>
      <c r="N49" s="2120"/>
      <c r="O49" s="2131"/>
      <c r="P49" s="3349" t="str">
        <f>A49</f>
        <v>估价对象XX用房的比较价格（楼面单价，元/平方米）</v>
      </c>
      <c r="Q49" s="3350"/>
      <c r="R49" s="3468" t="e">
        <f>IF(F1="售价",ROUND(AVERAGE(R48:V48),0),ROUND(AVERAGE(R48:V48),1))</f>
        <v>#DIV/0!</v>
      </c>
      <c r="S49" s="3468"/>
      <c r="T49" s="3468"/>
      <c r="U49" s="3468"/>
      <c r="V49" s="3468"/>
      <c r="W49" s="346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58" t="s">
        <v>522</v>
      </c>
      <c r="D4" s="3359"/>
      <c r="E4" s="3392" t="s">
        <v>523</v>
      </c>
      <c r="F4" s="3393"/>
      <c r="G4" s="3358" t="s">
        <v>524</v>
      </c>
      <c r="H4" s="3359"/>
      <c r="I4" s="3358" t="s">
        <v>525</v>
      </c>
      <c r="J4" s="3359"/>
      <c r="K4" s="514" t="s">
        <v>526</v>
      </c>
      <c r="L4" s="2119"/>
      <c r="M4" s="2120"/>
      <c r="N4" s="2120"/>
      <c r="O4" s="2120"/>
      <c r="P4" s="3472" t="s">
        <v>527</v>
      </c>
      <c r="Q4" s="3361"/>
      <c r="R4" s="3366" t="s">
        <v>523</v>
      </c>
      <c r="S4" s="3367"/>
      <c r="T4" s="3366" t="s">
        <v>524</v>
      </c>
      <c r="U4" s="3367"/>
      <c r="V4" s="3353" t="s">
        <v>525</v>
      </c>
      <c r="W4" s="3353"/>
      <c r="X4" s="1554"/>
      <c r="Y4" s="3366" t="s">
        <v>527</v>
      </c>
      <c r="Z4" s="3367"/>
      <c r="AA4" s="3355" t="s">
        <v>523</v>
      </c>
      <c r="AB4" s="3355" t="s">
        <v>524</v>
      </c>
      <c r="AC4" s="3355" t="s">
        <v>525</v>
      </c>
    </row>
    <row r="5" spans="1:29" ht="15">
      <c r="A5" s="515"/>
      <c r="B5" s="516"/>
      <c r="C5" s="3374" t="s">
        <v>2921</v>
      </c>
      <c r="D5" s="3375"/>
      <c r="E5" s="3394" t="s">
        <v>2922</v>
      </c>
      <c r="F5" s="3395"/>
      <c r="G5" s="3374" t="s">
        <v>2923</v>
      </c>
      <c r="H5" s="3375"/>
      <c r="I5" s="3374" t="s">
        <v>2924</v>
      </c>
      <c r="J5" s="3375"/>
      <c r="K5" s="514"/>
      <c r="L5" s="2119"/>
      <c r="M5" s="2120"/>
      <c r="N5" s="2120"/>
      <c r="O5" s="2120"/>
      <c r="P5" s="3473"/>
      <c r="Q5" s="3363"/>
      <c r="R5" s="3368"/>
      <c r="S5" s="3369"/>
      <c r="T5" s="3368"/>
      <c r="U5" s="3369"/>
      <c r="V5" s="3353"/>
      <c r="W5" s="3353"/>
      <c r="X5" s="1554"/>
      <c r="Y5" s="3368"/>
      <c r="Z5" s="3369"/>
      <c r="AA5" s="3356"/>
      <c r="AB5" s="3356"/>
      <c r="AC5" s="3356"/>
    </row>
    <row r="6" spans="1:29" ht="15.75" thickBot="1">
      <c r="A6" s="517"/>
      <c r="B6" s="518"/>
      <c r="C6" s="3372" t="s">
        <v>2925</v>
      </c>
      <c r="D6" s="3373"/>
      <c r="E6" s="3390" t="s">
        <v>2925</v>
      </c>
      <c r="F6" s="3391"/>
      <c r="G6" s="3372" t="s">
        <v>2925</v>
      </c>
      <c r="H6" s="3373"/>
      <c r="I6" s="3372" t="s">
        <v>2925</v>
      </c>
      <c r="J6" s="3373"/>
      <c r="K6" s="514" t="s">
        <v>528</v>
      </c>
      <c r="L6" s="2119"/>
      <c r="M6" s="2120"/>
      <c r="N6" s="2120"/>
      <c r="O6" s="2120"/>
      <c r="P6" s="3474"/>
      <c r="Q6" s="3365"/>
      <c r="R6" s="3368"/>
      <c r="S6" s="3369"/>
      <c r="T6" s="3370"/>
      <c r="U6" s="3371"/>
      <c r="V6" s="3353"/>
      <c r="W6" s="3353"/>
      <c r="X6" s="1554"/>
      <c r="Y6" s="3370"/>
      <c r="Z6" s="3371"/>
      <c r="AA6" s="3357"/>
      <c r="AB6" s="3357"/>
      <c r="AC6" s="3357"/>
    </row>
    <row r="7" spans="1:29" s="1216" customFormat="1" ht="15.75" thickBot="1">
      <c r="A7" s="2868"/>
      <c r="B7" s="2875" t="s">
        <v>529</v>
      </c>
      <c r="C7" s="519">
        <f>'数据-取费表'!B2</f>
        <v>43559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5" t="s">
        <v>530</v>
      </c>
      <c r="Q7" s="3385"/>
      <c r="R7" s="1555" t="s">
        <v>8</v>
      </c>
      <c r="S7" s="1556">
        <f t="shared" ref="S7:S15" si="0">F7</f>
        <v>0</v>
      </c>
      <c r="T7" s="1555" t="s">
        <v>8</v>
      </c>
      <c r="U7" s="1556">
        <f t="shared" ref="U7:U15" si="1">H7</f>
        <v>0</v>
      </c>
      <c r="V7" s="1555" t="s">
        <v>8</v>
      </c>
      <c r="W7" s="1556">
        <f t="shared" ref="W7:W15"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5" t="s">
        <v>533</v>
      </c>
      <c r="Q8" s="3384"/>
      <c r="R8" s="1555" t="s">
        <v>8</v>
      </c>
      <c r="S8" s="1556">
        <f t="shared" si="0"/>
        <v>0</v>
      </c>
      <c r="T8" s="1555" t="s">
        <v>8</v>
      </c>
      <c r="U8" s="1556">
        <f t="shared" si="1"/>
        <v>0</v>
      </c>
      <c r="V8" s="1555" t="s">
        <v>8</v>
      </c>
      <c r="W8" s="1556">
        <f t="shared" si="2"/>
        <v>0</v>
      </c>
      <c r="X8" s="1557"/>
      <c r="Y8" s="3383" t="s">
        <v>533</v>
      </c>
      <c r="Z8" s="3384"/>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2" t="s">
        <v>535</v>
      </c>
      <c r="Q9" s="1147" t="str">
        <f t="shared" ref="Q9:Q15" si="6">B9</f>
        <v>用途</v>
      </c>
      <c r="R9" s="1555" t="s">
        <v>8</v>
      </c>
      <c r="S9" s="1556">
        <f t="shared" si="0"/>
        <v>100</v>
      </c>
      <c r="T9" s="1555" t="s">
        <v>8</v>
      </c>
      <c r="U9" s="1556">
        <f t="shared" si="1"/>
        <v>100</v>
      </c>
      <c r="V9" s="1555" t="s">
        <v>8</v>
      </c>
      <c r="W9" s="1556">
        <f t="shared" si="2"/>
        <v>100</v>
      </c>
      <c r="X9" s="1557"/>
      <c r="Y9" s="329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2"/>
      <c r="Q11" s="1147" t="str">
        <f t="shared" si="6"/>
        <v>容积率</v>
      </c>
      <c r="R11" s="1555" t="s">
        <v>8</v>
      </c>
      <c r="S11" s="1556" t="e">
        <f t="shared" si="0"/>
        <v>#N/A</v>
      </c>
      <c r="T11" s="1555" t="s">
        <v>8</v>
      </c>
      <c r="U11" s="1556" t="e">
        <f t="shared" si="1"/>
        <v>#N/A</v>
      </c>
      <c r="V11" s="1555" t="s">
        <v>8</v>
      </c>
      <c r="W11" s="1556" t="e">
        <f t="shared" si="2"/>
        <v>#N/A</v>
      </c>
      <c r="X11" s="1557"/>
      <c r="Y11" s="329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2"/>
      <c r="Q12" s="1147">
        <f t="shared" si="6"/>
        <v>111</v>
      </c>
      <c r="R12" s="1555" t="s">
        <v>8</v>
      </c>
      <c r="S12" s="1556">
        <f t="shared" si="0"/>
        <v>100</v>
      </c>
      <c r="T12" s="1555" t="s">
        <v>8</v>
      </c>
      <c r="U12" s="1556">
        <f t="shared" si="1"/>
        <v>100</v>
      </c>
      <c r="V12" s="1555" t="s">
        <v>8</v>
      </c>
      <c r="W12" s="1556">
        <f t="shared" si="2"/>
        <v>100</v>
      </c>
      <c r="X12" s="1557"/>
      <c r="Y12" s="329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2"/>
      <c r="Q13" s="1147">
        <f t="shared" si="6"/>
        <v>111</v>
      </c>
      <c r="R13" s="1555" t="s">
        <v>8</v>
      </c>
      <c r="S13" s="1556">
        <f t="shared" si="0"/>
        <v>100</v>
      </c>
      <c r="T13" s="1555" t="s">
        <v>8</v>
      </c>
      <c r="U13" s="1556">
        <f t="shared" si="1"/>
        <v>100</v>
      </c>
      <c r="V13" s="1555" t="s">
        <v>8</v>
      </c>
      <c r="W13" s="1556">
        <f t="shared" si="2"/>
        <v>100</v>
      </c>
      <c r="X13" s="1557"/>
      <c r="Y13" s="329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2"/>
      <c r="Q14" s="1147">
        <f t="shared" si="6"/>
        <v>111</v>
      </c>
      <c r="R14" s="1555" t="s">
        <v>8</v>
      </c>
      <c r="S14" s="1556">
        <f t="shared" si="0"/>
        <v>100</v>
      </c>
      <c r="T14" s="1555" t="s">
        <v>8</v>
      </c>
      <c r="U14" s="1556">
        <f t="shared" si="1"/>
        <v>100</v>
      </c>
      <c r="V14" s="1555" t="s">
        <v>8</v>
      </c>
      <c r="W14" s="1556">
        <f t="shared" si="2"/>
        <v>100</v>
      </c>
      <c r="X14" s="1557"/>
      <c r="Y14" s="3298"/>
      <c r="Z14" s="1146">
        <f t="shared" si="7"/>
        <v>111</v>
      </c>
      <c r="AA14" s="1558">
        <f t="shared" si="3"/>
        <v>1</v>
      </c>
      <c r="AB14" s="1558">
        <f t="shared" si="4"/>
        <v>1</v>
      </c>
      <c r="AC14" s="1558">
        <f t="shared" si="5"/>
        <v>1</v>
      </c>
    </row>
    <row r="15" spans="1:29" ht="71.25">
      <c r="A15" s="2866"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6" t="s">
        <v>540</v>
      </c>
      <c r="Q15" s="1559" t="str">
        <f t="shared" si="6"/>
        <v>办公集聚程度</v>
      </c>
      <c r="R15" s="1560" t="s">
        <v>8</v>
      </c>
      <c r="S15" s="1561">
        <f t="shared" si="0"/>
        <v>100</v>
      </c>
      <c r="T15" s="1560" t="s">
        <v>8</v>
      </c>
      <c r="U15" s="1561">
        <f t="shared" si="1"/>
        <v>100</v>
      </c>
      <c r="V15" s="1560" t="s">
        <v>8</v>
      </c>
      <c r="W15" s="1561">
        <f t="shared" si="2"/>
        <v>100</v>
      </c>
      <c r="X15" s="1554"/>
      <c r="Y15" s="338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7"/>
      <c r="Q16" s="1559"/>
      <c r="R16" s="1560"/>
      <c r="S16" s="1561"/>
      <c r="T16" s="1560"/>
      <c r="U16" s="1561"/>
      <c r="V16" s="1560"/>
      <c r="W16" s="1561"/>
      <c r="X16" s="1554"/>
      <c r="Y16" s="3387"/>
      <c r="Z16" s="1562"/>
      <c r="AA16" s="1563">
        <v>1</v>
      </c>
      <c r="AB16" s="1563">
        <v>1</v>
      </c>
      <c r="AC16" s="1563">
        <v>1</v>
      </c>
    </row>
    <row r="17" spans="1:29" ht="85.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7"/>
      <c r="Q18" s="1559"/>
      <c r="R18" s="1560"/>
      <c r="S18" s="1561"/>
      <c r="T18" s="1560"/>
      <c r="U18" s="1561"/>
      <c r="V18" s="1560"/>
      <c r="W18" s="1561"/>
      <c r="X18" s="1554"/>
      <c r="Y18" s="3387"/>
      <c r="Z18" s="1562"/>
      <c r="AA18" s="1563">
        <v>1</v>
      </c>
      <c r="AB18" s="1563">
        <v>1</v>
      </c>
      <c r="AC18" s="1563">
        <v>1</v>
      </c>
    </row>
    <row r="19" spans="1:29" ht="42.75">
      <c r="A19" s="532"/>
      <c r="B19" s="2568" t="s">
        <v>2546</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7"/>
      <c r="Q20" s="1559"/>
      <c r="R20" s="1560"/>
      <c r="S20" s="1561"/>
      <c r="T20" s="1560"/>
      <c r="U20" s="1561"/>
      <c r="V20" s="1560"/>
      <c r="W20" s="1561"/>
      <c r="X20" s="1554"/>
      <c r="Y20" s="3387"/>
      <c r="Z20" s="1562"/>
      <c r="AA20" s="1563">
        <v>1</v>
      </c>
      <c r="AB20" s="1563">
        <v>1</v>
      </c>
      <c r="AC20" s="1563">
        <v>1</v>
      </c>
    </row>
    <row r="21" spans="1:29" ht="28.5">
      <c r="A21" s="532"/>
      <c r="B21" s="2556"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7"/>
      <c r="Q21" s="2544" t="str">
        <f>B21</f>
        <v>基础设施水平</v>
      </c>
      <c r="R21" s="1560" t="s">
        <v>8</v>
      </c>
      <c r="S21" s="1561">
        <f>F21</f>
        <v>100</v>
      </c>
      <c r="T21" s="1560" t="s">
        <v>8</v>
      </c>
      <c r="U21" s="1561">
        <f>H21</f>
        <v>100</v>
      </c>
      <c r="V21" s="1560" t="s">
        <v>8</v>
      </c>
      <c r="W21" s="1561">
        <f>J21</f>
        <v>100</v>
      </c>
      <c r="X21" s="2546"/>
      <c r="Y21" s="338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7"/>
      <c r="Q22" s="2544"/>
      <c r="R22" s="1560"/>
      <c r="S22" s="1561"/>
      <c r="T22" s="1560"/>
      <c r="U22" s="1561"/>
      <c r="V22" s="1560"/>
      <c r="W22" s="1561"/>
      <c r="X22" s="2546"/>
      <c r="Y22" s="3387"/>
      <c r="Z22" s="2545"/>
      <c r="AA22" s="1563">
        <v>1</v>
      </c>
      <c r="AB22" s="1563">
        <v>1</v>
      </c>
      <c r="AC22" s="1563">
        <v>1</v>
      </c>
    </row>
    <row r="23" spans="1:29" ht="57">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7"/>
      <c r="Q24" s="1559"/>
      <c r="R24" s="1560"/>
      <c r="S24" s="1561"/>
      <c r="T24" s="1560"/>
      <c r="U24" s="1561"/>
      <c r="V24" s="1560"/>
      <c r="W24" s="1561"/>
      <c r="X24" s="1554"/>
      <c r="Y24" s="338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7"/>
      <c r="Q25" s="1559" t="str">
        <f>B25</f>
        <v>毗邻道路的类型与等级</v>
      </c>
      <c r="R25" s="1560" t="s">
        <v>8</v>
      </c>
      <c r="S25" s="1561">
        <f>F25</f>
        <v>100</v>
      </c>
      <c r="T25" s="1560" t="s">
        <v>8</v>
      </c>
      <c r="U25" s="1561">
        <f>H25</f>
        <v>100</v>
      </c>
      <c r="V25" s="1560" t="s">
        <v>8</v>
      </c>
      <c r="W25" s="1561">
        <f>J25</f>
        <v>100</v>
      </c>
      <c r="X25" s="1554"/>
      <c r="Y25" s="338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7"/>
      <c r="Q26" s="1559"/>
      <c r="R26" s="1560"/>
      <c r="S26" s="1561"/>
      <c r="T26" s="1560"/>
      <c r="U26" s="1561"/>
      <c r="V26" s="1560"/>
      <c r="W26" s="1561"/>
      <c r="X26" s="1554"/>
      <c r="Y26" s="338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7"/>
      <c r="Q27" s="1559" t="str">
        <f t="shared" ref="Q27:Q47" si="11">B27</f>
        <v>楼层</v>
      </c>
      <c r="R27" s="1560" t="s">
        <v>8</v>
      </c>
      <c r="S27" s="1561">
        <f>F27</f>
        <v>100</v>
      </c>
      <c r="T27" s="1560" t="s">
        <v>8</v>
      </c>
      <c r="U27" s="1561">
        <f>H27</f>
        <v>100</v>
      </c>
      <c r="V27" s="1560" t="s">
        <v>8</v>
      </c>
      <c r="W27" s="1561">
        <f>J27</f>
        <v>100</v>
      </c>
      <c r="X27" s="1554"/>
      <c r="Y27" s="338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7"/>
      <c r="Q28" s="1147" t="str">
        <f t="shared" si="11"/>
        <v>朝向</v>
      </c>
      <c r="R28" s="1555" t="s">
        <v>8</v>
      </c>
      <c r="S28" s="1556">
        <f>F28</f>
        <v>100</v>
      </c>
      <c r="T28" s="1555" t="s">
        <v>8</v>
      </c>
      <c r="U28" s="1556">
        <f>H28</f>
        <v>100</v>
      </c>
      <c r="V28" s="1555" t="s">
        <v>8</v>
      </c>
      <c r="W28" s="1556">
        <f>J28</f>
        <v>100</v>
      </c>
      <c r="X28" s="1557"/>
      <c r="Y28" s="338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7"/>
      <c r="Q29" s="1559">
        <f t="shared" si="11"/>
        <v>111</v>
      </c>
      <c r="R29" s="1560" t="s">
        <v>8</v>
      </c>
      <c r="S29" s="1561">
        <f t="shared" ref="S29:S47" si="12">F29</f>
        <v>100</v>
      </c>
      <c r="T29" s="1560" t="s">
        <v>8</v>
      </c>
      <c r="U29" s="1561">
        <f t="shared" ref="U29:U47" si="13">H29</f>
        <v>100</v>
      </c>
      <c r="V29" s="1560" t="s">
        <v>8</v>
      </c>
      <c r="W29" s="1561">
        <f t="shared" ref="W29:W47" si="14">J29</f>
        <v>100</v>
      </c>
      <c r="X29" s="1554"/>
      <c r="Y29" s="338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7"/>
      <c r="Q32" s="1559">
        <f t="shared" si="11"/>
        <v>111</v>
      </c>
      <c r="R32" s="1560" t="s">
        <v>8</v>
      </c>
      <c r="S32" s="1561">
        <f t="shared" si="12"/>
        <v>100</v>
      </c>
      <c r="T32" s="1560" t="s">
        <v>8</v>
      </c>
      <c r="U32" s="1561">
        <f t="shared" si="13"/>
        <v>100</v>
      </c>
      <c r="V32" s="1560" t="s">
        <v>8</v>
      </c>
      <c r="W32" s="1561">
        <f t="shared" si="14"/>
        <v>100</v>
      </c>
      <c r="X32" s="1554"/>
      <c r="Y32" s="338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8" t="s">
        <v>550</v>
      </c>
      <c r="Q33" s="1559" t="str">
        <f t="shared" si="11"/>
        <v>建筑类型</v>
      </c>
      <c r="R33" s="1560" t="s">
        <v>8</v>
      </c>
      <c r="S33" s="1561">
        <f t="shared" si="12"/>
        <v>100</v>
      </c>
      <c r="T33" s="1560" t="s">
        <v>8</v>
      </c>
      <c r="U33" s="1561">
        <f t="shared" si="13"/>
        <v>100</v>
      </c>
      <c r="V33" s="1560" t="s">
        <v>8</v>
      </c>
      <c r="W33" s="1561">
        <f t="shared" si="14"/>
        <v>100</v>
      </c>
      <c r="X33" s="1554"/>
      <c r="Y33" s="338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9"/>
      <c r="Q34" s="1591" t="str">
        <f t="shared" si="11"/>
        <v>项目建筑规模</v>
      </c>
      <c r="R34" s="1564" t="s">
        <v>8</v>
      </c>
      <c r="S34" s="1565" t="e">
        <f t="shared" si="12"/>
        <v>#N/A</v>
      </c>
      <c r="T34" s="1564" t="s">
        <v>8</v>
      </c>
      <c r="U34" s="1565" t="e">
        <f t="shared" si="13"/>
        <v>#N/A</v>
      </c>
      <c r="V34" s="1564" t="s">
        <v>8</v>
      </c>
      <c r="W34" s="1565" t="e">
        <f t="shared" si="14"/>
        <v>#N/A</v>
      </c>
      <c r="X34" s="1566"/>
      <c r="Y34" s="338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9"/>
      <c r="Q35" s="1559" t="str">
        <f t="shared" si="11"/>
        <v>建筑结构</v>
      </c>
      <c r="R35" s="1560" t="s">
        <v>8</v>
      </c>
      <c r="S35" s="1561">
        <f t="shared" si="12"/>
        <v>100</v>
      </c>
      <c r="T35" s="1560" t="s">
        <v>8</v>
      </c>
      <c r="U35" s="1561">
        <f t="shared" si="13"/>
        <v>100</v>
      </c>
      <c r="V35" s="1560" t="s">
        <v>8</v>
      </c>
      <c r="W35" s="1561">
        <f t="shared" si="14"/>
        <v>100</v>
      </c>
      <c r="X35" s="1554"/>
      <c r="Y35" s="338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9"/>
      <c r="Q36" s="1559" t="str">
        <f t="shared" si="11"/>
        <v>公共部分装修</v>
      </c>
      <c r="R36" s="1560" t="s">
        <v>8</v>
      </c>
      <c r="S36" s="1561">
        <f t="shared" si="12"/>
        <v>100</v>
      </c>
      <c r="T36" s="1560" t="s">
        <v>8</v>
      </c>
      <c r="U36" s="1561">
        <f t="shared" si="13"/>
        <v>100</v>
      </c>
      <c r="V36" s="1560" t="s">
        <v>8</v>
      </c>
      <c r="W36" s="1561">
        <f t="shared" si="14"/>
        <v>100</v>
      </c>
      <c r="X36" s="1554"/>
      <c r="Y36" s="338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9"/>
      <c r="Q37" s="1559" t="str">
        <f t="shared" si="11"/>
        <v>成新度</v>
      </c>
      <c r="R37" s="1560" t="s">
        <v>8</v>
      </c>
      <c r="S37" s="1561" t="e">
        <f t="shared" si="12"/>
        <v>#N/A</v>
      </c>
      <c r="T37" s="1560" t="s">
        <v>8</v>
      </c>
      <c r="U37" s="1561" t="e">
        <f t="shared" si="13"/>
        <v>#N/A</v>
      </c>
      <c r="V37" s="1560" t="s">
        <v>8</v>
      </c>
      <c r="W37" s="1561" t="e">
        <f t="shared" si="14"/>
        <v>#N/A</v>
      </c>
      <c r="X37" s="1554"/>
      <c r="Y37" s="338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9"/>
      <c r="Q38" s="1147" t="str">
        <f t="shared" si="11"/>
        <v>写字楼等级</v>
      </c>
      <c r="R38" s="1555" t="s">
        <v>8</v>
      </c>
      <c r="S38" s="1556">
        <f t="shared" si="12"/>
        <v>100</v>
      </c>
      <c r="T38" s="1555" t="s">
        <v>8</v>
      </c>
      <c r="U38" s="1556">
        <f t="shared" si="13"/>
        <v>100</v>
      </c>
      <c r="V38" s="1555" t="s">
        <v>8</v>
      </c>
      <c r="W38" s="1556">
        <f t="shared" si="14"/>
        <v>100</v>
      </c>
      <c r="X38" s="1557"/>
      <c r="Y38" s="338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9" t="s">
        <v>550</v>
      </c>
      <c r="Q39" s="1559" t="str">
        <f t="shared" si="11"/>
        <v>物业管理</v>
      </c>
      <c r="R39" s="1560" t="s">
        <v>8</v>
      </c>
      <c r="S39" s="1561">
        <f t="shared" si="12"/>
        <v>100</v>
      </c>
      <c r="T39" s="1560" t="s">
        <v>8</v>
      </c>
      <c r="U39" s="1561">
        <f t="shared" si="13"/>
        <v>100</v>
      </c>
      <c r="V39" s="1560" t="s">
        <v>8</v>
      </c>
      <c r="W39" s="1561">
        <f t="shared" si="14"/>
        <v>100</v>
      </c>
      <c r="X39" s="1554"/>
      <c r="Y39" s="338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9"/>
      <c r="Q40" s="1559" t="str">
        <f t="shared" si="11"/>
        <v>市政基础设施</v>
      </c>
      <c r="R40" s="1560" t="s">
        <v>8</v>
      </c>
      <c r="S40" s="1561">
        <f t="shared" si="12"/>
        <v>100</v>
      </c>
      <c r="T40" s="1560" t="s">
        <v>8</v>
      </c>
      <c r="U40" s="1561">
        <f t="shared" si="13"/>
        <v>100</v>
      </c>
      <c r="V40" s="1560" t="s">
        <v>8</v>
      </c>
      <c r="W40" s="1561">
        <f t="shared" si="14"/>
        <v>100</v>
      </c>
      <c r="X40" s="1554"/>
      <c r="Y40" s="338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9"/>
      <c r="Q41" s="1559" t="str">
        <f t="shared" si="11"/>
        <v>层高</v>
      </c>
      <c r="R41" s="1560" t="s">
        <v>8</v>
      </c>
      <c r="S41" s="1561">
        <f t="shared" si="12"/>
        <v>100</v>
      </c>
      <c r="T41" s="1560" t="s">
        <v>8</v>
      </c>
      <c r="U41" s="1561">
        <f t="shared" si="13"/>
        <v>100</v>
      </c>
      <c r="V41" s="1560" t="s">
        <v>8</v>
      </c>
      <c r="W41" s="1561">
        <f t="shared" si="14"/>
        <v>100</v>
      </c>
      <c r="X41" s="1554"/>
      <c r="Y41" s="338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9"/>
      <c r="Q42" s="1591" t="str">
        <f t="shared" si="11"/>
        <v>单套建筑面积</v>
      </c>
      <c r="R42" s="1564" t="s">
        <v>8</v>
      </c>
      <c r="S42" s="1565">
        <f t="shared" si="12"/>
        <v>100</v>
      </c>
      <c r="T42" s="1564" t="s">
        <v>8</v>
      </c>
      <c r="U42" s="1565">
        <f t="shared" si="13"/>
        <v>100</v>
      </c>
      <c r="V42" s="1564" t="s">
        <v>8</v>
      </c>
      <c r="W42" s="1565">
        <f t="shared" si="14"/>
        <v>100</v>
      </c>
      <c r="X42" s="1566"/>
      <c r="Y42" s="338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9"/>
      <c r="Q43" s="1559" t="str">
        <f t="shared" si="11"/>
        <v>内部装修</v>
      </c>
      <c r="R43" s="1560" t="s">
        <v>8</v>
      </c>
      <c r="S43" s="1561">
        <f t="shared" si="12"/>
        <v>100</v>
      </c>
      <c r="T43" s="1560" t="s">
        <v>8</v>
      </c>
      <c r="U43" s="1561">
        <f t="shared" si="13"/>
        <v>100</v>
      </c>
      <c r="V43" s="1560" t="s">
        <v>8</v>
      </c>
      <c r="W43" s="1561">
        <f t="shared" si="14"/>
        <v>100</v>
      </c>
      <c r="X43" s="1554"/>
      <c r="Y43" s="338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9"/>
      <c r="Q44" s="1559" t="str">
        <f t="shared" si="11"/>
        <v>内部装修维护情况</v>
      </c>
      <c r="R44" s="1560" t="s">
        <v>8</v>
      </c>
      <c r="S44" s="1561">
        <f t="shared" si="12"/>
        <v>100</v>
      </c>
      <c r="T44" s="1560" t="s">
        <v>8</v>
      </c>
      <c r="U44" s="1561">
        <f t="shared" si="13"/>
        <v>100</v>
      </c>
      <c r="V44" s="1560" t="s">
        <v>8</v>
      </c>
      <c r="W44" s="1561">
        <f t="shared" si="14"/>
        <v>100</v>
      </c>
      <c r="X44" s="1554"/>
      <c r="Y44" s="338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9"/>
      <c r="Q45" s="1147">
        <f t="shared" si="11"/>
        <v>111</v>
      </c>
      <c r="R45" s="1555" t="s">
        <v>8</v>
      </c>
      <c r="S45" s="1556">
        <f t="shared" si="12"/>
        <v>100</v>
      </c>
      <c r="T45" s="1555" t="s">
        <v>8</v>
      </c>
      <c r="U45" s="1556">
        <f t="shared" si="13"/>
        <v>100</v>
      </c>
      <c r="V45" s="1555" t="s">
        <v>8</v>
      </c>
      <c r="W45" s="1556">
        <f t="shared" si="14"/>
        <v>100</v>
      </c>
      <c r="X45" s="1557"/>
      <c r="Y45" s="338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9"/>
      <c r="Q46" s="1559">
        <f t="shared" si="11"/>
        <v>111</v>
      </c>
      <c r="R46" s="1560" t="s">
        <v>8</v>
      </c>
      <c r="S46" s="1561">
        <f t="shared" si="12"/>
        <v>100</v>
      </c>
      <c r="T46" s="1560" t="s">
        <v>8</v>
      </c>
      <c r="U46" s="1561">
        <f t="shared" si="13"/>
        <v>100</v>
      </c>
      <c r="V46" s="1560" t="s">
        <v>8</v>
      </c>
      <c r="W46" s="1561">
        <f t="shared" si="14"/>
        <v>100</v>
      </c>
      <c r="X46" s="1554"/>
      <c r="Y46" s="338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0"/>
      <c r="Q47" s="1559">
        <f t="shared" si="11"/>
        <v>111</v>
      </c>
      <c r="R47" s="1560" t="s">
        <v>8</v>
      </c>
      <c r="S47" s="1561">
        <f t="shared" si="12"/>
        <v>100</v>
      </c>
      <c r="T47" s="1560" t="s">
        <v>8</v>
      </c>
      <c r="U47" s="1561">
        <f t="shared" si="13"/>
        <v>100</v>
      </c>
      <c r="V47" s="1560" t="s">
        <v>8</v>
      </c>
      <c r="W47" s="1561">
        <f t="shared" si="14"/>
        <v>100</v>
      </c>
      <c r="X47" s="1554"/>
      <c r="Y47" s="3470"/>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50" t="str">
        <f>A48</f>
        <v>成交单价（元/平方米）</v>
      </c>
      <c r="Q48" s="3352"/>
      <c r="R48" s="3469">
        <f>E48</f>
        <v>0</v>
      </c>
      <c r="S48" s="3469"/>
      <c r="T48" s="3469">
        <f>G48</f>
        <v>0</v>
      </c>
      <c r="U48" s="3469"/>
      <c r="V48" s="3469">
        <f>I48</f>
        <v>0</v>
      </c>
      <c r="W48" s="3469"/>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50" t="str">
        <f>A49</f>
        <v>比较价格（元/平方米）</v>
      </c>
      <c r="Q49" s="3352"/>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46"/>
      <c r="Y49" s="1546"/>
      <c r="Z49" s="1546"/>
      <c r="AA49" s="1546"/>
      <c r="AB49" s="1546"/>
      <c r="AC49" s="1546"/>
    </row>
    <row r="50" spans="1:29" ht="15.75" thickBot="1">
      <c r="A50" s="621" t="s">
        <v>2927</v>
      </c>
      <c r="B50" s="622"/>
      <c r="C50" s="2601" t="e">
        <f>R50</f>
        <v>#DIV/0!</v>
      </c>
      <c r="D50" s="2601"/>
      <c r="E50" s="2601"/>
      <c r="F50" s="2601"/>
      <c r="G50" s="2601"/>
      <c r="H50" s="2601"/>
      <c r="I50" s="2601"/>
      <c r="J50" s="2601"/>
      <c r="K50" s="1599"/>
      <c r="L50" s="2130"/>
      <c r="M50" s="2120"/>
      <c r="N50" s="2120"/>
      <c r="O50" s="2120"/>
      <c r="P50" s="3471" t="str">
        <f>A50</f>
        <v>估价对象XX用房的比较价格（楼面单价，元/平方米）</v>
      </c>
      <c r="Q50" s="3350"/>
      <c r="R50" s="3468" t="e">
        <f>IF(F1="售价",ROUND(AVERAGE(R49:V49),0),ROUND(AVERAGE(R49:V49),1))</f>
        <v>#DIV/0!</v>
      </c>
      <c r="S50" s="3468"/>
      <c r="T50" s="3468"/>
      <c r="U50" s="3468"/>
      <c r="V50" s="3468"/>
      <c r="W50" s="346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2019-4</v>
      </c>
      <c r="D59" s="2760">
        <f>EDATE(C59,-1)</f>
        <v>43525</v>
      </c>
      <c r="E59" s="2760">
        <f t="shared" ref="E59:O59" si="16">EDATE(D59,-1)</f>
        <v>43497</v>
      </c>
      <c r="F59" s="2760">
        <f t="shared" si="16"/>
        <v>43466</v>
      </c>
      <c r="G59" s="2760">
        <f t="shared" si="16"/>
        <v>43435</v>
      </c>
      <c r="H59" s="2760">
        <f t="shared" si="16"/>
        <v>43405</v>
      </c>
      <c r="I59" s="2760">
        <f t="shared" si="16"/>
        <v>43374</v>
      </c>
      <c r="J59" s="2760">
        <f t="shared" si="16"/>
        <v>43344</v>
      </c>
      <c r="K59" s="2760">
        <f t="shared" si="16"/>
        <v>43313</v>
      </c>
      <c r="L59" s="2760">
        <f t="shared" si="16"/>
        <v>43282</v>
      </c>
      <c r="M59" s="2760">
        <f t="shared" si="16"/>
        <v>43252</v>
      </c>
      <c r="N59" s="2760">
        <f t="shared" si="16"/>
        <v>43221</v>
      </c>
      <c r="O59" s="2760">
        <f t="shared" si="16"/>
        <v>43191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58" t="s">
        <v>522</v>
      </c>
      <c r="D4" s="3359"/>
      <c r="E4" s="3392" t="s">
        <v>523</v>
      </c>
      <c r="F4" s="3393"/>
      <c r="G4" s="3358" t="s">
        <v>524</v>
      </c>
      <c r="H4" s="3359"/>
      <c r="I4" s="3358" t="s">
        <v>525</v>
      </c>
      <c r="J4" s="3359"/>
      <c r="K4" s="514" t="s">
        <v>526</v>
      </c>
      <c r="L4" s="2119"/>
      <c r="M4" s="2120"/>
      <c r="N4" s="2120"/>
      <c r="O4" s="2120"/>
      <c r="P4" s="3360" t="s">
        <v>527</v>
      </c>
      <c r="Q4" s="3361"/>
      <c r="R4" s="3366" t="s">
        <v>523</v>
      </c>
      <c r="S4" s="3367"/>
      <c r="T4" s="3366" t="s">
        <v>524</v>
      </c>
      <c r="U4" s="3367"/>
      <c r="V4" s="3353" t="s">
        <v>525</v>
      </c>
      <c r="W4" s="3353"/>
      <c r="X4" s="1554"/>
      <c r="Y4" s="3366" t="s">
        <v>527</v>
      </c>
      <c r="Z4" s="3367"/>
      <c r="AA4" s="3355" t="s">
        <v>523</v>
      </c>
      <c r="AB4" s="3356" t="s">
        <v>524</v>
      </c>
      <c r="AC4" s="3355" t="s">
        <v>525</v>
      </c>
    </row>
    <row r="5" spans="1:29" ht="15">
      <c r="A5" s="515"/>
      <c r="B5" s="516"/>
      <c r="C5" s="3374" t="s">
        <v>2921</v>
      </c>
      <c r="D5" s="3375"/>
      <c r="E5" s="3394" t="s">
        <v>2922</v>
      </c>
      <c r="F5" s="3395"/>
      <c r="G5" s="3374" t="s">
        <v>2923</v>
      </c>
      <c r="H5" s="3375"/>
      <c r="I5" s="3374" t="s">
        <v>2924</v>
      </c>
      <c r="J5" s="3375"/>
      <c r="K5" s="514"/>
      <c r="L5" s="2119"/>
      <c r="M5" s="2120"/>
      <c r="N5" s="2120"/>
      <c r="O5" s="2120"/>
      <c r="P5" s="3362"/>
      <c r="Q5" s="3363"/>
      <c r="R5" s="3368"/>
      <c r="S5" s="3369"/>
      <c r="T5" s="3368"/>
      <c r="U5" s="3369"/>
      <c r="V5" s="3353"/>
      <c r="W5" s="3353"/>
      <c r="X5" s="1554"/>
      <c r="Y5" s="3368"/>
      <c r="Z5" s="3369"/>
      <c r="AA5" s="3356"/>
      <c r="AB5" s="3356"/>
      <c r="AC5" s="3356"/>
    </row>
    <row r="6" spans="1:29" ht="15.75" thickBot="1">
      <c r="A6" s="517"/>
      <c r="B6" s="518"/>
      <c r="C6" s="3372" t="s">
        <v>2925</v>
      </c>
      <c r="D6" s="3373"/>
      <c r="E6" s="3390" t="s">
        <v>2925</v>
      </c>
      <c r="F6" s="3391"/>
      <c r="G6" s="3372" t="s">
        <v>2925</v>
      </c>
      <c r="H6" s="3373"/>
      <c r="I6" s="3372" t="s">
        <v>2925</v>
      </c>
      <c r="J6" s="3373"/>
      <c r="K6" s="514" t="s">
        <v>528</v>
      </c>
      <c r="L6" s="2119"/>
      <c r="M6" s="2120"/>
      <c r="N6" s="2120"/>
      <c r="O6" s="2120"/>
      <c r="P6" s="3364"/>
      <c r="Q6" s="3365"/>
      <c r="R6" s="3368"/>
      <c r="S6" s="3369"/>
      <c r="T6" s="3370"/>
      <c r="U6" s="3371"/>
      <c r="V6" s="3353"/>
      <c r="W6" s="3353"/>
      <c r="X6" s="1554"/>
      <c r="Y6" s="3370"/>
      <c r="Z6" s="3371"/>
      <c r="AA6" s="3357"/>
      <c r="AB6" s="3357"/>
      <c r="AC6" s="3357"/>
    </row>
    <row r="7" spans="1:29" s="1216" customFormat="1" ht="15.75" thickBot="1">
      <c r="A7" s="2868"/>
      <c r="B7" s="2875" t="s">
        <v>529</v>
      </c>
      <c r="C7" s="519">
        <f>'数据-取费表'!B2</f>
        <v>43559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3" t="s">
        <v>530</v>
      </c>
      <c r="Q7" s="3385"/>
      <c r="R7" s="1555" t="s">
        <v>8</v>
      </c>
      <c r="S7" s="1556">
        <f t="shared" ref="S7:S15" si="0">F7</f>
        <v>0</v>
      </c>
      <c r="T7" s="1555" t="s">
        <v>8</v>
      </c>
      <c r="U7" s="1556">
        <f t="shared" ref="U7:U15" si="1">H7</f>
        <v>0</v>
      </c>
      <c r="V7" s="1555" t="s">
        <v>8</v>
      </c>
      <c r="W7" s="1556">
        <f t="shared" ref="W7:W15"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3" t="s">
        <v>533</v>
      </c>
      <c r="Q8" s="3384"/>
      <c r="R8" s="1555" t="s">
        <v>8</v>
      </c>
      <c r="S8" s="1556">
        <f t="shared" si="0"/>
        <v>0</v>
      </c>
      <c r="T8" s="1555" t="s">
        <v>8</v>
      </c>
      <c r="U8" s="1556">
        <f t="shared" si="1"/>
        <v>0</v>
      </c>
      <c r="V8" s="1555" t="s">
        <v>8</v>
      </c>
      <c r="W8" s="1556">
        <f t="shared" si="2"/>
        <v>0</v>
      </c>
      <c r="X8" s="1557"/>
      <c r="Y8" s="3383" t="s">
        <v>533</v>
      </c>
      <c r="Z8" s="3384"/>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2" t="s">
        <v>535</v>
      </c>
      <c r="Q9" s="1147" t="str">
        <f t="shared" ref="Q9:Q15" si="6">B9</f>
        <v>用途</v>
      </c>
      <c r="R9" s="1555" t="s">
        <v>8</v>
      </c>
      <c r="S9" s="1556">
        <f t="shared" si="0"/>
        <v>100</v>
      </c>
      <c r="T9" s="1555" t="s">
        <v>8</v>
      </c>
      <c r="U9" s="1556">
        <f t="shared" si="1"/>
        <v>100</v>
      </c>
      <c r="V9" s="1555" t="s">
        <v>8</v>
      </c>
      <c r="W9" s="1556">
        <f t="shared" si="2"/>
        <v>100</v>
      </c>
      <c r="X9" s="1557"/>
      <c r="Y9" s="3298"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2"/>
      <c r="Q11" s="1147" t="str">
        <f t="shared" si="6"/>
        <v>容积率</v>
      </c>
      <c r="R11" s="1555" t="s">
        <v>8</v>
      </c>
      <c r="S11" s="1556" t="e">
        <f t="shared" si="0"/>
        <v>#N/A</v>
      </c>
      <c r="T11" s="1555" t="s">
        <v>8</v>
      </c>
      <c r="U11" s="1556" t="e">
        <f t="shared" si="1"/>
        <v>#N/A</v>
      </c>
      <c r="V11" s="1555" t="s">
        <v>8</v>
      </c>
      <c r="W11" s="1556" t="e">
        <f t="shared" si="2"/>
        <v>#N/A</v>
      </c>
      <c r="X11" s="1557"/>
      <c r="Y11" s="329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2"/>
      <c r="Q12" s="1147">
        <f t="shared" si="6"/>
        <v>111</v>
      </c>
      <c r="R12" s="1555" t="s">
        <v>8</v>
      </c>
      <c r="S12" s="1556">
        <f t="shared" si="0"/>
        <v>100</v>
      </c>
      <c r="T12" s="1555" t="s">
        <v>8</v>
      </c>
      <c r="U12" s="1556">
        <f t="shared" si="1"/>
        <v>100</v>
      </c>
      <c r="V12" s="1555" t="s">
        <v>8</v>
      </c>
      <c r="W12" s="1556">
        <f t="shared" si="2"/>
        <v>100</v>
      </c>
      <c r="X12" s="1557"/>
      <c r="Y12" s="329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2"/>
      <c r="Q13" s="1147">
        <f t="shared" si="6"/>
        <v>111</v>
      </c>
      <c r="R13" s="1555" t="s">
        <v>8</v>
      </c>
      <c r="S13" s="1556">
        <f t="shared" si="0"/>
        <v>100</v>
      </c>
      <c r="T13" s="1555" t="s">
        <v>8</v>
      </c>
      <c r="U13" s="1556">
        <f t="shared" si="1"/>
        <v>100</v>
      </c>
      <c r="V13" s="1555" t="s">
        <v>8</v>
      </c>
      <c r="W13" s="1556">
        <f t="shared" si="2"/>
        <v>100</v>
      </c>
      <c r="X13" s="1557"/>
      <c r="Y13" s="329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2"/>
      <c r="Q14" s="1147">
        <f t="shared" si="6"/>
        <v>111</v>
      </c>
      <c r="R14" s="1555" t="s">
        <v>8</v>
      </c>
      <c r="S14" s="1556">
        <f t="shared" si="0"/>
        <v>100</v>
      </c>
      <c r="T14" s="1555" t="s">
        <v>8</v>
      </c>
      <c r="U14" s="1556">
        <f t="shared" si="1"/>
        <v>100</v>
      </c>
      <c r="V14" s="1555" t="s">
        <v>8</v>
      </c>
      <c r="W14" s="1556">
        <f t="shared" si="2"/>
        <v>100</v>
      </c>
      <c r="X14" s="1557"/>
      <c r="Y14" s="3298"/>
      <c r="Z14" s="1146">
        <f t="shared" si="7"/>
        <v>111</v>
      </c>
      <c r="AA14" s="1558">
        <f t="shared" si="3"/>
        <v>1</v>
      </c>
      <c r="AB14" s="1558">
        <f t="shared" si="4"/>
        <v>1</v>
      </c>
      <c r="AC14" s="1558">
        <f t="shared" si="5"/>
        <v>1</v>
      </c>
    </row>
    <row r="15" spans="1:29" ht="57">
      <c r="A15" s="2866" t="s">
        <v>2754</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6" t="s">
        <v>540</v>
      </c>
      <c r="Q15" s="1559" t="str">
        <f t="shared" si="6"/>
        <v>产业集聚程度</v>
      </c>
      <c r="R15" s="1560" t="s">
        <v>8</v>
      </c>
      <c r="S15" s="1561">
        <f t="shared" si="0"/>
        <v>100</v>
      </c>
      <c r="T15" s="1560" t="s">
        <v>8</v>
      </c>
      <c r="U15" s="1561">
        <f t="shared" si="1"/>
        <v>100</v>
      </c>
      <c r="V15" s="1560" t="s">
        <v>8</v>
      </c>
      <c r="W15" s="1561">
        <f t="shared" si="2"/>
        <v>100</v>
      </c>
      <c r="X15" s="1554"/>
      <c r="Y15" s="338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7"/>
      <c r="Q16" s="1559"/>
      <c r="R16" s="1560"/>
      <c r="S16" s="1561"/>
      <c r="T16" s="1560"/>
      <c r="U16" s="1561"/>
      <c r="V16" s="1560"/>
      <c r="W16" s="1561"/>
      <c r="X16" s="1554"/>
      <c r="Y16" s="3387"/>
      <c r="Z16" s="1562"/>
      <c r="AA16" s="1563">
        <v>1</v>
      </c>
      <c r="AB16" s="1563">
        <v>1</v>
      </c>
      <c r="AC16" s="1563">
        <v>1</v>
      </c>
    </row>
    <row r="17" spans="1:29" ht="85.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7"/>
      <c r="Q18" s="1559"/>
      <c r="R18" s="1560"/>
      <c r="S18" s="1561"/>
      <c r="T18" s="1560"/>
      <c r="U18" s="1561"/>
      <c r="V18" s="1560"/>
      <c r="W18" s="1561"/>
      <c r="X18" s="1554"/>
      <c r="Y18" s="3387"/>
      <c r="Z18" s="1562"/>
      <c r="AA18" s="1563">
        <v>1</v>
      </c>
      <c r="AB18" s="1563">
        <v>1</v>
      </c>
      <c r="AC18" s="1563">
        <v>1</v>
      </c>
    </row>
    <row r="19" spans="1:29" ht="42.75">
      <c r="A19" s="532"/>
      <c r="B19" s="2568"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7"/>
      <c r="Q20" s="1559"/>
      <c r="R20" s="1560"/>
      <c r="S20" s="1561"/>
      <c r="T20" s="1560"/>
      <c r="U20" s="1561"/>
      <c r="V20" s="1560"/>
      <c r="W20" s="1561"/>
      <c r="X20" s="1554"/>
      <c r="Y20" s="3387"/>
      <c r="Z20" s="1562"/>
      <c r="AA20" s="1563">
        <v>1</v>
      </c>
      <c r="AB20" s="1563">
        <v>1</v>
      </c>
      <c r="AC20" s="1563">
        <v>1</v>
      </c>
    </row>
    <row r="21" spans="1:29" ht="28.5">
      <c r="A21" s="532"/>
      <c r="B21" s="2556"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7"/>
      <c r="Q21" s="2544" t="str">
        <f>B21</f>
        <v>基础设施水平</v>
      </c>
      <c r="R21" s="1560" t="s">
        <v>8</v>
      </c>
      <c r="S21" s="1561">
        <f>F21</f>
        <v>100</v>
      </c>
      <c r="T21" s="1560" t="s">
        <v>8</v>
      </c>
      <c r="U21" s="1561">
        <f>H21</f>
        <v>100</v>
      </c>
      <c r="V21" s="1560" t="s">
        <v>8</v>
      </c>
      <c r="W21" s="1561">
        <f>J21</f>
        <v>100</v>
      </c>
      <c r="X21" s="2546"/>
      <c r="Y21" s="338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7"/>
      <c r="Q22" s="2544"/>
      <c r="R22" s="1560"/>
      <c r="S22" s="1561"/>
      <c r="T22" s="1560"/>
      <c r="U22" s="1561"/>
      <c r="V22" s="1560"/>
      <c r="W22" s="1561"/>
      <c r="X22" s="2546"/>
      <c r="Y22" s="3387"/>
      <c r="Z22" s="2545"/>
      <c r="AA22" s="1563">
        <v>1</v>
      </c>
      <c r="AB22" s="1563">
        <v>1</v>
      </c>
      <c r="AC22" s="1563">
        <v>1</v>
      </c>
    </row>
    <row r="23" spans="1:29" ht="71.2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7"/>
      <c r="Q24" s="1559"/>
      <c r="R24" s="1560"/>
      <c r="S24" s="1561"/>
      <c r="T24" s="1560"/>
      <c r="U24" s="1561"/>
      <c r="V24" s="1560"/>
      <c r="W24" s="1561"/>
      <c r="X24" s="1554"/>
      <c r="Y24" s="338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7"/>
      <c r="Q25" s="1559">
        <f>B25</f>
        <v>111</v>
      </c>
      <c r="R25" s="1560" t="s">
        <v>8</v>
      </c>
      <c r="S25" s="1561">
        <f>F25</f>
        <v>100</v>
      </c>
      <c r="T25" s="1560" t="s">
        <v>8</v>
      </c>
      <c r="U25" s="1561">
        <f>H25</f>
        <v>100</v>
      </c>
      <c r="V25" s="1560" t="s">
        <v>8</v>
      </c>
      <c r="W25" s="1561">
        <f>J25</f>
        <v>100</v>
      </c>
      <c r="X25" s="1554"/>
      <c r="Y25" s="338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7"/>
      <c r="Q26" s="1559">
        <f t="shared" ref="Q26:Q40" si="11">B26</f>
        <v>111</v>
      </c>
      <c r="R26" s="1560" t="s">
        <v>8</v>
      </c>
      <c r="S26" s="1561">
        <f>F26</f>
        <v>100</v>
      </c>
      <c r="T26" s="1560" t="s">
        <v>8</v>
      </c>
      <c r="U26" s="1561">
        <f>H26</f>
        <v>100</v>
      </c>
      <c r="V26" s="1560" t="s">
        <v>8</v>
      </c>
      <c r="W26" s="1561">
        <f>J26</f>
        <v>100</v>
      </c>
      <c r="X26" s="1554"/>
      <c r="Y26" s="338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7"/>
      <c r="Q27" s="1147">
        <f t="shared" si="11"/>
        <v>111</v>
      </c>
      <c r="R27" s="1555" t="s">
        <v>8</v>
      </c>
      <c r="S27" s="1556">
        <f>F27</f>
        <v>100</v>
      </c>
      <c r="T27" s="1555" t="s">
        <v>8</v>
      </c>
      <c r="U27" s="1556">
        <f>H27</f>
        <v>100</v>
      </c>
      <c r="V27" s="1555" t="s">
        <v>8</v>
      </c>
      <c r="W27" s="1556">
        <f>J27</f>
        <v>100</v>
      </c>
      <c r="X27" s="1557"/>
      <c r="Y27" s="338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7"/>
      <c r="Q28" s="1559">
        <f t="shared" si="11"/>
        <v>111</v>
      </c>
      <c r="R28" s="1560" t="s">
        <v>8</v>
      </c>
      <c r="S28" s="1561">
        <f t="shared" ref="S28:S40" si="12">F28</f>
        <v>100</v>
      </c>
      <c r="T28" s="1560" t="s">
        <v>8</v>
      </c>
      <c r="U28" s="1561">
        <f t="shared" ref="U28:U40" si="13">H28</f>
        <v>100</v>
      </c>
      <c r="V28" s="1560" t="s">
        <v>8</v>
      </c>
      <c r="W28" s="1561">
        <f t="shared" ref="W28:W40" si="14">J28</f>
        <v>100</v>
      </c>
      <c r="X28" s="1554"/>
      <c r="Y28" s="338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8" t="s">
        <v>550</v>
      </c>
      <c r="Q29" s="1559" t="str">
        <f t="shared" si="11"/>
        <v>建筑类型</v>
      </c>
      <c r="R29" s="1560" t="s">
        <v>8</v>
      </c>
      <c r="S29" s="1561">
        <f t="shared" si="12"/>
        <v>100</v>
      </c>
      <c r="T29" s="1560" t="s">
        <v>8</v>
      </c>
      <c r="U29" s="1561">
        <f t="shared" si="13"/>
        <v>100</v>
      </c>
      <c r="V29" s="1560" t="s">
        <v>8</v>
      </c>
      <c r="W29" s="1561">
        <f t="shared" si="14"/>
        <v>100</v>
      </c>
      <c r="X29" s="1554"/>
      <c r="Y29" s="338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9"/>
      <c r="Q30" s="1591" t="str">
        <f t="shared" si="11"/>
        <v>项目建筑规模</v>
      </c>
      <c r="R30" s="1564" t="s">
        <v>8</v>
      </c>
      <c r="S30" s="1565" t="e">
        <f t="shared" si="12"/>
        <v>#N/A</v>
      </c>
      <c r="T30" s="1564" t="s">
        <v>8</v>
      </c>
      <c r="U30" s="1565" t="e">
        <f t="shared" si="13"/>
        <v>#N/A</v>
      </c>
      <c r="V30" s="1564" t="s">
        <v>8</v>
      </c>
      <c r="W30" s="1565" t="e">
        <f t="shared" si="14"/>
        <v>#N/A</v>
      </c>
      <c r="X30" s="1566"/>
      <c r="Y30" s="338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9"/>
      <c r="Q31" s="1559" t="str">
        <f t="shared" si="11"/>
        <v>建筑结构</v>
      </c>
      <c r="R31" s="1560" t="s">
        <v>8</v>
      </c>
      <c r="S31" s="1561">
        <f t="shared" si="12"/>
        <v>100</v>
      </c>
      <c r="T31" s="1560" t="s">
        <v>8</v>
      </c>
      <c r="U31" s="1561">
        <f t="shared" si="13"/>
        <v>100</v>
      </c>
      <c r="V31" s="1560" t="s">
        <v>8</v>
      </c>
      <c r="W31" s="1561">
        <f t="shared" si="14"/>
        <v>100</v>
      </c>
      <c r="X31" s="1554"/>
      <c r="Y31" s="338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9"/>
      <c r="Q32" s="1559" t="str">
        <f t="shared" si="11"/>
        <v>公共部分装修</v>
      </c>
      <c r="R32" s="1560" t="s">
        <v>8</v>
      </c>
      <c r="S32" s="1561">
        <f t="shared" si="12"/>
        <v>100</v>
      </c>
      <c r="T32" s="1560" t="s">
        <v>8</v>
      </c>
      <c r="U32" s="1561">
        <f t="shared" si="13"/>
        <v>100</v>
      </c>
      <c r="V32" s="1560" t="s">
        <v>8</v>
      </c>
      <c r="W32" s="1561">
        <f t="shared" si="14"/>
        <v>100</v>
      </c>
      <c r="X32" s="1554"/>
      <c r="Y32" s="338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9"/>
      <c r="Q33" s="1559" t="str">
        <f t="shared" si="11"/>
        <v>成新度</v>
      </c>
      <c r="R33" s="1560" t="s">
        <v>8</v>
      </c>
      <c r="S33" s="1561" t="e">
        <f t="shared" si="12"/>
        <v>#N/A</v>
      </c>
      <c r="T33" s="1560" t="s">
        <v>8</v>
      </c>
      <c r="U33" s="1561" t="e">
        <f t="shared" si="13"/>
        <v>#N/A</v>
      </c>
      <c r="V33" s="1560" t="s">
        <v>8</v>
      </c>
      <c r="W33" s="1561" t="e">
        <f t="shared" si="14"/>
        <v>#N/A</v>
      </c>
      <c r="X33" s="1554"/>
      <c r="Y33" s="338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9"/>
      <c r="Q34" s="1147" t="str">
        <f t="shared" si="11"/>
        <v>物业管理</v>
      </c>
      <c r="R34" s="1555" t="s">
        <v>8</v>
      </c>
      <c r="S34" s="1556">
        <f t="shared" si="12"/>
        <v>100</v>
      </c>
      <c r="T34" s="1555" t="s">
        <v>8</v>
      </c>
      <c r="U34" s="1556">
        <f t="shared" si="13"/>
        <v>100</v>
      </c>
      <c r="V34" s="1555" t="s">
        <v>8</v>
      </c>
      <c r="W34" s="1556">
        <f t="shared" si="14"/>
        <v>100</v>
      </c>
      <c r="X34" s="1557"/>
      <c r="Y34" s="338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9" t="s">
        <v>550</v>
      </c>
      <c r="Q35" s="1559" t="str">
        <f t="shared" si="11"/>
        <v>市政基础设施</v>
      </c>
      <c r="R35" s="1560" t="s">
        <v>8</v>
      </c>
      <c r="S35" s="1561">
        <f t="shared" si="12"/>
        <v>100</v>
      </c>
      <c r="T35" s="1560" t="s">
        <v>8</v>
      </c>
      <c r="U35" s="1561">
        <f t="shared" si="13"/>
        <v>100</v>
      </c>
      <c r="V35" s="1560" t="s">
        <v>8</v>
      </c>
      <c r="W35" s="1561">
        <f t="shared" si="14"/>
        <v>100</v>
      </c>
      <c r="X35" s="1554"/>
      <c r="Y35" s="338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9"/>
      <c r="Q36" s="1559" t="str">
        <f t="shared" si="11"/>
        <v>内部装修</v>
      </c>
      <c r="R36" s="1560" t="s">
        <v>8</v>
      </c>
      <c r="S36" s="1561">
        <f t="shared" si="12"/>
        <v>100</v>
      </c>
      <c r="T36" s="1560" t="s">
        <v>8</v>
      </c>
      <c r="U36" s="1561">
        <f t="shared" si="13"/>
        <v>100</v>
      </c>
      <c r="V36" s="1560" t="s">
        <v>8</v>
      </c>
      <c r="W36" s="1561">
        <f t="shared" si="14"/>
        <v>100</v>
      </c>
      <c r="X36" s="1554"/>
      <c r="Y36" s="338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9"/>
      <c r="Q37" s="1559" t="str">
        <f t="shared" si="11"/>
        <v>内部装修状况</v>
      </c>
      <c r="R37" s="1560" t="s">
        <v>8</v>
      </c>
      <c r="S37" s="1561">
        <f t="shared" si="12"/>
        <v>100</v>
      </c>
      <c r="T37" s="1560" t="s">
        <v>8</v>
      </c>
      <c r="U37" s="1561">
        <f t="shared" si="13"/>
        <v>100</v>
      </c>
      <c r="V37" s="1560" t="s">
        <v>8</v>
      </c>
      <c r="W37" s="1561">
        <f t="shared" si="14"/>
        <v>100</v>
      </c>
      <c r="X37" s="1554"/>
      <c r="Y37" s="338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9"/>
      <c r="Q38" s="1591">
        <f t="shared" si="11"/>
        <v>111</v>
      </c>
      <c r="R38" s="1564" t="s">
        <v>8</v>
      </c>
      <c r="S38" s="1565">
        <f t="shared" si="12"/>
        <v>100</v>
      </c>
      <c r="T38" s="1564" t="s">
        <v>8</v>
      </c>
      <c r="U38" s="1565">
        <f t="shared" si="13"/>
        <v>100</v>
      </c>
      <c r="V38" s="1564" t="s">
        <v>8</v>
      </c>
      <c r="W38" s="1565">
        <f t="shared" si="14"/>
        <v>100</v>
      </c>
      <c r="X38" s="1566"/>
      <c r="Y38" s="338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9"/>
      <c r="Q39" s="1559">
        <f t="shared" si="11"/>
        <v>111</v>
      </c>
      <c r="R39" s="1560" t="s">
        <v>8</v>
      </c>
      <c r="S39" s="1561">
        <f t="shared" si="12"/>
        <v>100</v>
      </c>
      <c r="T39" s="1560" t="s">
        <v>8</v>
      </c>
      <c r="U39" s="1561">
        <f t="shared" si="13"/>
        <v>100</v>
      </c>
      <c r="V39" s="1560" t="s">
        <v>8</v>
      </c>
      <c r="W39" s="1561">
        <f t="shared" si="14"/>
        <v>100</v>
      </c>
      <c r="X39" s="1554"/>
      <c r="Y39" s="338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0"/>
      <c r="Q40" s="1559">
        <f t="shared" si="11"/>
        <v>111</v>
      </c>
      <c r="R40" s="1560" t="s">
        <v>8</v>
      </c>
      <c r="S40" s="1561">
        <f t="shared" si="12"/>
        <v>100</v>
      </c>
      <c r="T40" s="1560" t="s">
        <v>8</v>
      </c>
      <c r="U40" s="1561">
        <f t="shared" si="13"/>
        <v>100</v>
      </c>
      <c r="V40" s="1560" t="s">
        <v>8</v>
      </c>
      <c r="W40" s="1561">
        <f t="shared" si="14"/>
        <v>100</v>
      </c>
      <c r="X40" s="1554"/>
      <c r="Y40" s="347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52" t="str">
        <f>A41</f>
        <v>成交单价（元/平方米）</v>
      </c>
      <c r="Q41" s="3352"/>
      <c r="R41" s="3469">
        <f>E41</f>
        <v>0</v>
      </c>
      <c r="S41" s="3469"/>
      <c r="T41" s="3469">
        <f>G41</f>
        <v>0</v>
      </c>
      <c r="U41" s="3469"/>
      <c r="V41" s="3469">
        <f>I41</f>
        <v>0</v>
      </c>
      <c r="W41" s="3469"/>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52" t="str">
        <f>A42</f>
        <v>比较价格（元/平方米）</v>
      </c>
      <c r="Q42" s="3352"/>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46"/>
      <c r="Y42" s="1546"/>
      <c r="Z42" s="1546"/>
      <c r="AA42" s="1546"/>
      <c r="AB42" s="1546"/>
      <c r="AC42" s="1546"/>
    </row>
    <row r="43" spans="1:29" ht="15.75" thickBot="1">
      <c r="A43" s="621" t="s">
        <v>2927</v>
      </c>
      <c r="B43" s="622"/>
      <c r="C43" s="2601" t="e">
        <f>R43</f>
        <v>#DIV/0!</v>
      </c>
      <c r="D43" s="2601"/>
      <c r="E43" s="2601"/>
      <c r="F43" s="2601"/>
      <c r="G43" s="2601"/>
      <c r="H43" s="2601"/>
      <c r="I43" s="2601"/>
      <c r="J43" s="2601"/>
      <c r="K43" s="1599"/>
      <c r="L43" s="2130"/>
      <c r="M43" s="2131"/>
      <c r="N43" s="2131"/>
      <c r="O43" s="2131"/>
      <c r="P43" s="3349" t="str">
        <f>A43</f>
        <v>估价对象XX用房的比较价格（楼面单价，元/平方米）</v>
      </c>
      <c r="Q43" s="3350"/>
      <c r="R43" s="3468" t="e">
        <f>IF(F1="售价",ROUND(AVERAGE(R42:V42),0),ROUND(AVERAGE(R42:V42),1))</f>
        <v>#DIV/0!</v>
      </c>
      <c r="S43" s="3468"/>
      <c r="T43" s="3468"/>
      <c r="U43" s="3468"/>
      <c r="V43" s="3468"/>
      <c r="W43" s="346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2019-4</v>
      </c>
      <c r="D52" s="2760">
        <f>EDATE(C52,-1)</f>
        <v>43525</v>
      </c>
      <c r="E52" s="2760">
        <f t="shared" ref="E52:O52" si="16">EDATE(D52,-1)</f>
        <v>43497</v>
      </c>
      <c r="F52" s="2760">
        <f t="shared" si="16"/>
        <v>43466</v>
      </c>
      <c r="G52" s="2760">
        <f t="shared" si="16"/>
        <v>43435</v>
      </c>
      <c r="H52" s="2760">
        <f t="shared" si="16"/>
        <v>43405</v>
      </c>
      <c r="I52" s="2760">
        <f t="shared" si="16"/>
        <v>43374</v>
      </c>
      <c r="J52" s="2760">
        <f t="shared" si="16"/>
        <v>43344</v>
      </c>
      <c r="K52" s="2760">
        <f t="shared" si="16"/>
        <v>43313</v>
      </c>
      <c r="L52" s="2760">
        <f t="shared" si="16"/>
        <v>43282</v>
      </c>
      <c r="M52" s="2760">
        <f t="shared" si="16"/>
        <v>43252</v>
      </c>
      <c r="N52" s="2760">
        <f t="shared" si="16"/>
        <v>43221</v>
      </c>
      <c r="O52" s="2760">
        <f t="shared" si="16"/>
        <v>43191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8" t="s">
        <v>798</v>
      </c>
      <c r="D4" s="3359"/>
      <c r="E4" s="3358" t="s">
        <v>799</v>
      </c>
      <c r="F4" s="3359"/>
      <c r="G4" s="3358" t="s">
        <v>800</v>
      </c>
      <c r="H4" s="3359"/>
      <c r="I4" s="3358" t="s">
        <v>801</v>
      </c>
      <c r="J4" s="3359"/>
      <c r="K4" s="514" t="s">
        <v>802</v>
      </c>
      <c r="L4" s="2119"/>
      <c r="M4" s="2120"/>
      <c r="N4" s="2120"/>
      <c r="O4" s="2120"/>
      <c r="P4" s="3360" t="s">
        <v>803</v>
      </c>
      <c r="Q4" s="3361"/>
      <c r="R4" s="3366" t="s">
        <v>799</v>
      </c>
      <c r="S4" s="3367"/>
      <c r="T4" s="3366" t="s">
        <v>800</v>
      </c>
      <c r="U4" s="3367"/>
      <c r="V4" s="3353" t="s">
        <v>801</v>
      </c>
      <c r="W4" s="3353"/>
      <c r="X4" s="1554"/>
      <c r="Y4" s="3366" t="s">
        <v>803</v>
      </c>
      <c r="Z4" s="3367"/>
      <c r="AA4" s="3355" t="s">
        <v>799</v>
      </c>
      <c r="AB4" s="3356" t="s">
        <v>800</v>
      </c>
      <c r="AC4" s="3355" t="s">
        <v>801</v>
      </c>
    </row>
    <row r="5" spans="1:29" ht="15">
      <c r="A5" s="515"/>
      <c r="B5" s="516"/>
      <c r="C5" s="3374" t="s">
        <v>2921</v>
      </c>
      <c r="D5" s="3375"/>
      <c r="E5" s="3374" t="s">
        <v>2922</v>
      </c>
      <c r="F5" s="3375"/>
      <c r="G5" s="3374" t="s">
        <v>2923</v>
      </c>
      <c r="H5" s="3375"/>
      <c r="I5" s="3374" t="s">
        <v>2924</v>
      </c>
      <c r="J5" s="3375"/>
      <c r="K5" s="514"/>
      <c r="L5" s="2119"/>
      <c r="M5" s="2120"/>
      <c r="N5" s="2120"/>
      <c r="O5" s="2120"/>
      <c r="P5" s="3362"/>
      <c r="Q5" s="3363"/>
      <c r="R5" s="3368"/>
      <c r="S5" s="3369"/>
      <c r="T5" s="3368"/>
      <c r="U5" s="3369"/>
      <c r="V5" s="3353"/>
      <c r="W5" s="3353"/>
      <c r="X5" s="1554"/>
      <c r="Y5" s="3368"/>
      <c r="Z5" s="3369"/>
      <c r="AA5" s="3356"/>
      <c r="AB5" s="3356"/>
      <c r="AC5" s="3356"/>
    </row>
    <row r="6" spans="1:29" ht="15.75" thickBot="1">
      <c r="A6" s="517"/>
      <c r="B6" s="518"/>
      <c r="C6" s="3372" t="s">
        <v>2925</v>
      </c>
      <c r="D6" s="3373"/>
      <c r="E6" s="3376" t="s">
        <v>2925</v>
      </c>
      <c r="F6" s="3377"/>
      <c r="G6" s="3372" t="s">
        <v>2925</v>
      </c>
      <c r="H6" s="3373"/>
      <c r="I6" s="3372" t="s">
        <v>2925</v>
      </c>
      <c r="J6" s="3373"/>
      <c r="K6" s="514" t="s">
        <v>528</v>
      </c>
      <c r="L6" s="2119"/>
      <c r="M6" s="2120"/>
      <c r="N6" s="2120"/>
      <c r="O6" s="2120"/>
      <c r="P6" s="3364"/>
      <c r="Q6" s="3365"/>
      <c r="R6" s="3368"/>
      <c r="S6" s="3369"/>
      <c r="T6" s="3370"/>
      <c r="U6" s="3371"/>
      <c r="V6" s="3353"/>
      <c r="W6" s="3353"/>
      <c r="X6" s="1554"/>
      <c r="Y6" s="3370"/>
      <c r="Z6" s="3371"/>
      <c r="AA6" s="3357"/>
      <c r="AB6" s="3357"/>
      <c r="AC6" s="3357"/>
    </row>
    <row r="7" spans="1:29" s="1216" customFormat="1" ht="15.75" thickBot="1">
      <c r="A7" s="2868"/>
      <c r="B7" s="2875" t="s">
        <v>529</v>
      </c>
      <c r="C7" s="519">
        <f>'数据-取费表'!B2</f>
        <v>43559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3" t="s">
        <v>530</v>
      </c>
      <c r="Q7" s="3385"/>
      <c r="R7" s="1555" t="s">
        <v>8</v>
      </c>
      <c r="S7" s="1556">
        <f t="shared" ref="S7:S14" si="0">F7</f>
        <v>0</v>
      </c>
      <c r="T7" s="1555" t="s">
        <v>8</v>
      </c>
      <c r="U7" s="1556">
        <f t="shared" ref="U7:U14" si="1">H7</f>
        <v>0</v>
      </c>
      <c r="V7" s="1555" t="s">
        <v>8</v>
      </c>
      <c r="W7" s="1556">
        <f t="shared" ref="W7:W14"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3" t="s">
        <v>533</v>
      </c>
      <c r="Q8" s="3384"/>
      <c r="R8" s="1555" t="s">
        <v>8</v>
      </c>
      <c r="S8" s="1556">
        <f t="shared" si="0"/>
        <v>0</v>
      </c>
      <c r="T8" s="1555" t="s">
        <v>8</v>
      </c>
      <c r="U8" s="1556">
        <f t="shared" si="1"/>
        <v>0</v>
      </c>
      <c r="V8" s="1555" t="s">
        <v>8</v>
      </c>
      <c r="W8" s="1556">
        <f t="shared" si="2"/>
        <v>0</v>
      </c>
      <c r="X8" s="1557"/>
      <c r="Y8" s="3383" t="s">
        <v>533</v>
      </c>
      <c r="Z8" s="3384"/>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2" t="s">
        <v>535</v>
      </c>
      <c r="Q9" s="1147" t="str">
        <f t="shared" ref="Q9:Q14" si="6">B9</f>
        <v>用途</v>
      </c>
      <c r="R9" s="1555" t="s">
        <v>8</v>
      </c>
      <c r="S9" s="1556">
        <f t="shared" si="0"/>
        <v>100</v>
      </c>
      <c r="T9" s="1555" t="s">
        <v>8</v>
      </c>
      <c r="U9" s="1556">
        <f t="shared" si="1"/>
        <v>100</v>
      </c>
      <c r="V9" s="1555" t="s">
        <v>8</v>
      </c>
      <c r="W9" s="1556">
        <f t="shared" si="2"/>
        <v>100</v>
      </c>
      <c r="X9" s="1557"/>
      <c r="Y9" s="329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2"/>
      <c r="Q11" s="1147">
        <f t="shared" si="6"/>
        <v>111</v>
      </c>
      <c r="R11" s="1555" t="s">
        <v>8</v>
      </c>
      <c r="S11" s="1556">
        <f t="shared" si="0"/>
        <v>100</v>
      </c>
      <c r="T11" s="1555" t="s">
        <v>8</v>
      </c>
      <c r="U11" s="1556">
        <f t="shared" si="1"/>
        <v>100</v>
      </c>
      <c r="V11" s="1555" t="s">
        <v>8</v>
      </c>
      <c r="W11" s="1556">
        <f t="shared" si="2"/>
        <v>100</v>
      </c>
      <c r="X11" s="1557"/>
      <c r="Y11" s="329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2"/>
      <c r="Q12" s="1147">
        <f t="shared" si="6"/>
        <v>111</v>
      </c>
      <c r="R12" s="1555" t="s">
        <v>8</v>
      </c>
      <c r="S12" s="1556">
        <f t="shared" si="0"/>
        <v>100</v>
      </c>
      <c r="T12" s="1555" t="s">
        <v>8</v>
      </c>
      <c r="U12" s="1556">
        <f t="shared" si="1"/>
        <v>100</v>
      </c>
      <c r="V12" s="1555" t="s">
        <v>8</v>
      </c>
      <c r="W12" s="1556">
        <f t="shared" si="2"/>
        <v>100</v>
      </c>
      <c r="X12" s="1557"/>
      <c r="Y12" s="329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2"/>
      <c r="Q13" s="1147">
        <f t="shared" si="6"/>
        <v>111</v>
      </c>
      <c r="R13" s="1555" t="s">
        <v>8</v>
      </c>
      <c r="S13" s="1556">
        <f t="shared" si="0"/>
        <v>100</v>
      </c>
      <c r="T13" s="1555" t="s">
        <v>8</v>
      </c>
      <c r="U13" s="1556">
        <f t="shared" si="1"/>
        <v>100</v>
      </c>
      <c r="V13" s="1555" t="s">
        <v>8</v>
      </c>
      <c r="W13" s="1556">
        <f t="shared" si="2"/>
        <v>100</v>
      </c>
      <c r="X13" s="1557"/>
      <c r="Y13" s="3298"/>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7"/>
      <c r="Q15" s="1559"/>
      <c r="R15" s="1560"/>
      <c r="S15" s="1561"/>
      <c r="T15" s="1560"/>
      <c r="U15" s="1561"/>
      <c r="V15" s="1560"/>
      <c r="W15" s="1561"/>
      <c r="X15" s="1554"/>
      <c r="Y15" s="3387"/>
      <c r="Z15" s="1562"/>
      <c r="AA15" s="1563">
        <v>1</v>
      </c>
      <c r="AB15" s="1563">
        <v>1</v>
      </c>
      <c r="AC15" s="1563">
        <v>1</v>
      </c>
    </row>
    <row r="16" spans="1:29" ht="42.75">
      <c r="A16" s="515"/>
      <c r="B16" s="2568" t="s">
        <v>2546</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7"/>
      <c r="Q17" s="1559"/>
      <c r="R17" s="1560"/>
      <c r="S17" s="1561"/>
      <c r="T17" s="1560"/>
      <c r="U17" s="1561"/>
      <c r="V17" s="1560"/>
      <c r="W17" s="1561"/>
      <c r="X17" s="1554"/>
      <c r="Y17" s="3387"/>
      <c r="Z17" s="1562"/>
      <c r="AA17" s="1563">
        <v>1</v>
      </c>
      <c r="AB17" s="1563">
        <v>1</v>
      </c>
      <c r="AC17" s="1563">
        <v>1</v>
      </c>
    </row>
    <row r="18" spans="1:29" ht="28.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7"/>
      <c r="Q18" s="2544" t="str">
        <f>B18</f>
        <v>基础设施水平</v>
      </c>
      <c r="R18" s="1560" t="s">
        <v>8</v>
      </c>
      <c r="S18" s="1561">
        <f>F18</f>
        <v>100</v>
      </c>
      <c r="T18" s="1560" t="s">
        <v>8</v>
      </c>
      <c r="U18" s="1561">
        <f>H18</f>
        <v>100</v>
      </c>
      <c r="V18" s="1560" t="s">
        <v>8</v>
      </c>
      <c r="W18" s="1561">
        <f>J18</f>
        <v>100</v>
      </c>
      <c r="X18" s="2546"/>
      <c r="Y18" s="338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7"/>
      <c r="Q19" s="2544"/>
      <c r="R19" s="1560"/>
      <c r="S19" s="1561"/>
      <c r="T19" s="1560"/>
      <c r="U19" s="1561"/>
      <c r="V19" s="1560"/>
      <c r="W19" s="1561"/>
      <c r="X19" s="2546"/>
      <c r="Y19" s="3387"/>
      <c r="Z19" s="2545"/>
      <c r="AA19" s="1563">
        <v>1</v>
      </c>
      <c r="AB19" s="1563">
        <v>1</v>
      </c>
      <c r="AC19" s="1563">
        <v>1</v>
      </c>
    </row>
    <row r="20" spans="1:29" ht="57">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7"/>
      <c r="Q21" s="1559"/>
      <c r="R21" s="1560"/>
      <c r="S21" s="1561"/>
      <c r="T21" s="1560"/>
      <c r="U21" s="1561"/>
      <c r="V21" s="1560"/>
      <c r="W21" s="1561"/>
      <c r="X21" s="1554"/>
      <c r="Y21" s="338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7"/>
      <c r="Q24" s="1559">
        <f t="shared" ref="Q24:Q36"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9"/>
      <c r="Q27" s="1591" t="str">
        <f t="shared" si="11"/>
        <v>项目停车位配比</v>
      </c>
      <c r="R27" s="1564" t="s">
        <v>8</v>
      </c>
      <c r="S27" s="1565">
        <f t="shared" si="12"/>
        <v>100</v>
      </c>
      <c r="T27" s="1564" t="s">
        <v>8</v>
      </c>
      <c r="U27" s="1565">
        <f t="shared" si="13"/>
        <v>100</v>
      </c>
      <c r="V27" s="1564" t="s">
        <v>8</v>
      </c>
      <c r="W27" s="1565">
        <f t="shared" si="14"/>
        <v>100</v>
      </c>
      <c r="X27" s="1566"/>
      <c r="Y27" s="338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9"/>
      <c r="Q28" s="1559" t="str">
        <f t="shared" si="11"/>
        <v>公共部分装修</v>
      </c>
      <c r="R28" s="1560" t="s">
        <v>8</v>
      </c>
      <c r="S28" s="1561">
        <f t="shared" si="12"/>
        <v>100</v>
      </c>
      <c r="T28" s="1560" t="s">
        <v>8</v>
      </c>
      <c r="U28" s="1561">
        <f t="shared" si="13"/>
        <v>100</v>
      </c>
      <c r="V28" s="1560" t="s">
        <v>8</v>
      </c>
      <c r="W28" s="1561">
        <f t="shared" si="14"/>
        <v>100</v>
      </c>
      <c r="X28" s="1554"/>
      <c r="Y28" s="338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9"/>
      <c r="Q29" s="1559" t="str">
        <f t="shared" si="11"/>
        <v>成新率</v>
      </c>
      <c r="R29" s="1560" t="s">
        <v>8</v>
      </c>
      <c r="S29" s="1561" t="e">
        <f t="shared" si="12"/>
        <v>#N/A</v>
      </c>
      <c r="T29" s="1560" t="s">
        <v>8</v>
      </c>
      <c r="U29" s="1561" t="e">
        <f t="shared" si="13"/>
        <v>#N/A</v>
      </c>
      <c r="V29" s="1560" t="s">
        <v>8</v>
      </c>
      <c r="W29" s="1561" t="e">
        <f t="shared" si="14"/>
        <v>#N/A</v>
      </c>
      <c r="X29" s="1554"/>
      <c r="Y29" s="338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9"/>
      <c r="Q30" s="1559" t="str">
        <f t="shared" si="11"/>
        <v>物业等级</v>
      </c>
      <c r="R30" s="1560" t="s">
        <v>8</v>
      </c>
      <c r="S30" s="1561">
        <f t="shared" si="12"/>
        <v>100</v>
      </c>
      <c r="T30" s="1560" t="s">
        <v>8</v>
      </c>
      <c r="U30" s="1561">
        <f t="shared" si="13"/>
        <v>100</v>
      </c>
      <c r="V30" s="1560" t="s">
        <v>8</v>
      </c>
      <c r="W30" s="1561">
        <f t="shared" si="14"/>
        <v>100</v>
      </c>
      <c r="X30" s="1554"/>
      <c r="Y30" s="338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9"/>
      <c r="Q31" s="1147" t="str">
        <f t="shared" si="11"/>
        <v>停车位面积</v>
      </c>
      <c r="R31" s="1555" t="s">
        <v>8</v>
      </c>
      <c r="S31" s="1556" t="e">
        <f t="shared" si="12"/>
        <v>#N/A</v>
      </c>
      <c r="T31" s="1555" t="s">
        <v>8</v>
      </c>
      <c r="U31" s="1556" t="e">
        <f t="shared" si="13"/>
        <v>#N/A</v>
      </c>
      <c r="V31" s="1555" t="s">
        <v>8</v>
      </c>
      <c r="W31" s="1556" t="e">
        <f t="shared" si="14"/>
        <v>#N/A</v>
      </c>
      <c r="X31" s="1557"/>
      <c r="Y31" s="338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9" t="s">
        <v>550</v>
      </c>
      <c r="Q32" s="1559" t="str">
        <f t="shared" si="11"/>
        <v>车位类型</v>
      </c>
      <c r="R32" s="1560" t="s">
        <v>8</v>
      </c>
      <c r="S32" s="1561">
        <f t="shared" si="12"/>
        <v>100</v>
      </c>
      <c r="T32" s="1560" t="s">
        <v>8</v>
      </c>
      <c r="U32" s="1561">
        <f t="shared" si="13"/>
        <v>100</v>
      </c>
      <c r="V32" s="1560" t="s">
        <v>8</v>
      </c>
      <c r="W32" s="1561">
        <f t="shared" si="14"/>
        <v>100</v>
      </c>
      <c r="X32" s="1554"/>
      <c r="Y32" s="338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9"/>
      <c r="Q33" s="1559" t="str">
        <f t="shared" si="11"/>
        <v>是否直接入户</v>
      </c>
      <c r="R33" s="1560" t="s">
        <v>8</v>
      </c>
      <c r="S33" s="1561">
        <f t="shared" si="12"/>
        <v>100</v>
      </c>
      <c r="T33" s="1560" t="s">
        <v>8</v>
      </c>
      <c r="U33" s="1561">
        <f t="shared" si="13"/>
        <v>100</v>
      </c>
      <c r="V33" s="1560" t="s">
        <v>8</v>
      </c>
      <c r="W33" s="1561">
        <f t="shared" si="14"/>
        <v>100</v>
      </c>
      <c r="X33" s="1554"/>
      <c r="Y33" s="338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9"/>
      <c r="Q35" s="1591">
        <f t="shared" si="11"/>
        <v>111</v>
      </c>
      <c r="R35" s="1564" t="s">
        <v>8</v>
      </c>
      <c r="S35" s="1565">
        <f t="shared" si="12"/>
        <v>100</v>
      </c>
      <c r="T35" s="1564" t="s">
        <v>8</v>
      </c>
      <c r="U35" s="1565">
        <f t="shared" si="13"/>
        <v>100</v>
      </c>
      <c r="V35" s="1564" t="s">
        <v>8</v>
      </c>
      <c r="W35" s="1565">
        <f t="shared" si="14"/>
        <v>100</v>
      </c>
      <c r="X35" s="1566"/>
      <c r="Y35" s="338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9"/>
      <c r="Q36" s="1559">
        <f t="shared" si="11"/>
        <v>111</v>
      </c>
      <c r="R36" s="1560" t="s">
        <v>8</v>
      </c>
      <c r="S36" s="1561">
        <f t="shared" si="12"/>
        <v>100</v>
      </c>
      <c r="T36" s="1560" t="s">
        <v>8</v>
      </c>
      <c r="U36" s="1561">
        <f t="shared" si="13"/>
        <v>100</v>
      </c>
      <c r="V36" s="1560" t="s">
        <v>8</v>
      </c>
      <c r="W36" s="1561">
        <f t="shared" si="14"/>
        <v>100</v>
      </c>
      <c r="X36" s="1554"/>
      <c r="Y36" s="338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52" t="str">
        <f>A37</f>
        <v>成交单价</v>
      </c>
      <c r="Q37" s="3352"/>
      <c r="R37" s="3469">
        <f>E37</f>
        <v>0</v>
      </c>
      <c r="S37" s="3469"/>
      <c r="T37" s="3469">
        <f>G37</f>
        <v>0</v>
      </c>
      <c r="U37" s="3469"/>
      <c r="V37" s="3469">
        <f>I37</f>
        <v>0</v>
      </c>
      <c r="W37" s="3469"/>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52" t="str">
        <f>A38</f>
        <v>比较价格（元/平方米）</v>
      </c>
      <c r="Q38" s="3352"/>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46"/>
      <c r="Y38" s="1546"/>
      <c r="Z38" s="1546"/>
      <c r="AA38" s="1546"/>
      <c r="AB38" s="1546"/>
      <c r="AC38" s="1546"/>
    </row>
    <row r="39" spans="1:29" ht="15.75" thickBot="1">
      <c r="A39" s="621" t="s">
        <v>2927</v>
      </c>
      <c r="B39" s="622"/>
      <c r="C39" s="2601" t="e">
        <f>R39</f>
        <v>#DIV/0!</v>
      </c>
      <c r="D39" s="2601"/>
      <c r="E39" s="2601"/>
      <c r="F39" s="2601"/>
      <c r="G39" s="2601"/>
      <c r="H39" s="2601"/>
      <c r="I39" s="2601"/>
      <c r="J39" s="2601"/>
      <c r="K39" s="1599"/>
      <c r="L39" s="2130"/>
      <c r="M39" s="2131"/>
      <c r="N39" s="2131"/>
      <c r="O39" s="2131"/>
      <c r="P39" s="3349" t="str">
        <f>A39</f>
        <v>估价对象XX用房的比较价格（楼面单价，元/平方米）</v>
      </c>
      <c r="Q39" s="3350"/>
      <c r="R39" s="3468" t="e">
        <f>IF(F1="售价",ROUND(AVERAGE(R38:V38),0),ROUND(AVERAGE(R38:V38),1))</f>
        <v>#DIV/0!</v>
      </c>
      <c r="S39" s="3468"/>
      <c r="T39" s="3468"/>
      <c r="U39" s="3468"/>
      <c r="V39" s="3468"/>
      <c r="W39" s="346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2019-4</v>
      </c>
      <c r="D48" s="2760">
        <f>EDATE(C48,-1)</f>
        <v>43525</v>
      </c>
      <c r="E48" s="2760">
        <f t="shared" ref="E48:O48" si="16">EDATE(D48,-1)</f>
        <v>43497</v>
      </c>
      <c r="F48" s="2760">
        <f t="shared" si="16"/>
        <v>43466</v>
      </c>
      <c r="G48" s="2760">
        <f t="shared" si="16"/>
        <v>43435</v>
      </c>
      <c r="H48" s="2760">
        <f t="shared" si="16"/>
        <v>43405</v>
      </c>
      <c r="I48" s="2760">
        <f t="shared" si="16"/>
        <v>43374</v>
      </c>
      <c r="J48" s="2760">
        <f t="shared" si="16"/>
        <v>43344</v>
      </c>
      <c r="K48" s="2760">
        <f t="shared" si="16"/>
        <v>43313</v>
      </c>
      <c r="L48" s="2760">
        <f t="shared" si="16"/>
        <v>43282</v>
      </c>
      <c r="M48" s="2760">
        <f t="shared" si="16"/>
        <v>43252</v>
      </c>
      <c r="N48" s="2760">
        <f t="shared" si="16"/>
        <v>43221</v>
      </c>
      <c r="O48" s="2760">
        <f t="shared" si="16"/>
        <v>43191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58" t="s">
        <v>798</v>
      </c>
      <c r="D4" s="3359"/>
      <c r="E4" s="3392" t="s">
        <v>799</v>
      </c>
      <c r="F4" s="3393"/>
      <c r="G4" s="3358" t="s">
        <v>800</v>
      </c>
      <c r="H4" s="3359"/>
      <c r="I4" s="3358" t="s">
        <v>801</v>
      </c>
      <c r="J4" s="3359"/>
      <c r="K4" s="514" t="s">
        <v>802</v>
      </c>
      <c r="L4" s="2119"/>
      <c r="M4" s="2120"/>
      <c r="N4" s="2120"/>
      <c r="O4" s="2120"/>
      <c r="P4" s="3360" t="s">
        <v>803</v>
      </c>
      <c r="Q4" s="3361"/>
      <c r="R4" s="3366" t="s">
        <v>799</v>
      </c>
      <c r="S4" s="3367"/>
      <c r="T4" s="3366" t="s">
        <v>800</v>
      </c>
      <c r="U4" s="3367"/>
      <c r="V4" s="3353" t="s">
        <v>801</v>
      </c>
      <c r="W4" s="3353"/>
      <c r="X4" s="1554"/>
      <c r="Y4" s="3366" t="s">
        <v>803</v>
      </c>
      <c r="Z4" s="3367"/>
      <c r="AA4" s="3355" t="s">
        <v>799</v>
      </c>
      <c r="AB4" s="3356" t="s">
        <v>800</v>
      </c>
      <c r="AC4" s="3355" t="s">
        <v>801</v>
      </c>
    </row>
    <row r="5" spans="1:29" ht="15">
      <c r="A5" s="515"/>
      <c r="B5" s="516"/>
      <c r="C5" s="3374" t="s">
        <v>2921</v>
      </c>
      <c r="D5" s="3375"/>
      <c r="E5" s="3394" t="s">
        <v>2922</v>
      </c>
      <c r="F5" s="3395"/>
      <c r="G5" s="3374" t="s">
        <v>2923</v>
      </c>
      <c r="H5" s="3375"/>
      <c r="I5" s="3374" t="s">
        <v>2924</v>
      </c>
      <c r="J5" s="3375"/>
      <c r="K5" s="514"/>
      <c r="L5" s="2119"/>
      <c r="M5" s="2120"/>
      <c r="N5" s="2120"/>
      <c r="O5" s="2120"/>
      <c r="P5" s="3362"/>
      <c r="Q5" s="3363"/>
      <c r="R5" s="3368"/>
      <c r="S5" s="3369"/>
      <c r="T5" s="3368"/>
      <c r="U5" s="3369"/>
      <c r="V5" s="3353"/>
      <c r="W5" s="3353"/>
      <c r="X5" s="1554"/>
      <c r="Y5" s="3368"/>
      <c r="Z5" s="3369"/>
      <c r="AA5" s="3356"/>
      <c r="AB5" s="3356"/>
      <c r="AC5" s="3356"/>
    </row>
    <row r="6" spans="1:29" ht="15.75" thickBot="1">
      <c r="A6" s="517"/>
      <c r="B6" s="518"/>
      <c r="C6" s="3372" t="s">
        <v>2925</v>
      </c>
      <c r="D6" s="3373"/>
      <c r="E6" s="3390" t="s">
        <v>2925</v>
      </c>
      <c r="F6" s="3391"/>
      <c r="G6" s="3372" t="s">
        <v>2925</v>
      </c>
      <c r="H6" s="3373"/>
      <c r="I6" s="3372" t="s">
        <v>2925</v>
      </c>
      <c r="J6" s="3373"/>
      <c r="K6" s="514" t="s">
        <v>528</v>
      </c>
      <c r="L6" s="2119"/>
      <c r="M6" s="2120"/>
      <c r="N6" s="2120"/>
      <c r="O6" s="2120"/>
      <c r="P6" s="3364"/>
      <c r="Q6" s="3365"/>
      <c r="R6" s="3368"/>
      <c r="S6" s="3369"/>
      <c r="T6" s="3370"/>
      <c r="U6" s="3371"/>
      <c r="V6" s="3353"/>
      <c r="W6" s="3353"/>
      <c r="X6" s="1554"/>
      <c r="Y6" s="3370"/>
      <c r="Z6" s="3371"/>
      <c r="AA6" s="3357"/>
      <c r="AB6" s="3357"/>
      <c r="AC6" s="3357"/>
    </row>
    <row r="7" spans="1:29" s="1216" customFormat="1" ht="15.75" thickBot="1">
      <c r="A7" s="2868"/>
      <c r="B7" s="2875" t="s">
        <v>529</v>
      </c>
      <c r="C7" s="519">
        <f>'数据-取费表'!B2</f>
        <v>43559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3" t="s">
        <v>530</v>
      </c>
      <c r="Q7" s="3385"/>
      <c r="R7" s="1555" t="s">
        <v>8</v>
      </c>
      <c r="S7" s="1556">
        <f t="shared" ref="S7:S14" si="0">F7</f>
        <v>0</v>
      </c>
      <c r="T7" s="1555" t="s">
        <v>8</v>
      </c>
      <c r="U7" s="1556">
        <f t="shared" ref="U7:U14" si="1">H7</f>
        <v>0</v>
      </c>
      <c r="V7" s="1555" t="s">
        <v>8</v>
      </c>
      <c r="W7" s="1556">
        <f t="shared" ref="W7:W14" si="2">J7</f>
        <v>0</v>
      </c>
      <c r="X7" s="1557"/>
      <c r="Y7" s="3383" t="s">
        <v>530</v>
      </c>
      <c r="Z7" s="338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3" t="s">
        <v>533</v>
      </c>
      <c r="Q8" s="3384"/>
      <c r="R8" s="1555" t="s">
        <v>8</v>
      </c>
      <c r="S8" s="1556">
        <f t="shared" si="0"/>
        <v>0</v>
      </c>
      <c r="T8" s="1555" t="s">
        <v>8</v>
      </c>
      <c r="U8" s="1556">
        <f t="shared" si="1"/>
        <v>0</v>
      </c>
      <c r="V8" s="1555" t="s">
        <v>8</v>
      </c>
      <c r="W8" s="1556">
        <f t="shared" si="2"/>
        <v>0</v>
      </c>
      <c r="X8" s="1557"/>
      <c r="Y8" s="3383" t="s">
        <v>533</v>
      </c>
      <c r="Z8" s="3384"/>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2" t="s">
        <v>535</v>
      </c>
      <c r="Q9" s="1147" t="str">
        <f t="shared" ref="Q9:Q14" si="6">B9</f>
        <v>用途</v>
      </c>
      <c r="R9" s="1555" t="s">
        <v>8</v>
      </c>
      <c r="S9" s="1556">
        <f t="shared" si="0"/>
        <v>100</v>
      </c>
      <c r="T9" s="1555" t="s">
        <v>8</v>
      </c>
      <c r="U9" s="1556">
        <f t="shared" si="1"/>
        <v>100</v>
      </c>
      <c r="V9" s="1555" t="s">
        <v>8</v>
      </c>
      <c r="W9" s="1556">
        <f t="shared" si="2"/>
        <v>100</v>
      </c>
      <c r="X9" s="1557"/>
      <c r="Y9" s="3298"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2"/>
      <c r="Q10" s="1147" t="str">
        <f t="shared" si="6"/>
        <v>土地使用年限（年）</v>
      </c>
      <c r="R10" s="1555" t="s">
        <v>8</v>
      </c>
      <c r="S10" s="1556">
        <f t="shared" si="0"/>
        <v>100</v>
      </c>
      <c r="T10" s="1555" t="s">
        <v>8</v>
      </c>
      <c r="U10" s="1556">
        <f t="shared" si="1"/>
        <v>100</v>
      </c>
      <c r="V10" s="1555" t="s">
        <v>8</v>
      </c>
      <c r="W10" s="1556">
        <f t="shared" si="2"/>
        <v>100</v>
      </c>
      <c r="X10" s="1557"/>
      <c r="Y10" s="329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2"/>
      <c r="Q11" s="1147">
        <f t="shared" si="6"/>
        <v>111</v>
      </c>
      <c r="R11" s="1555" t="s">
        <v>8</v>
      </c>
      <c r="S11" s="1556">
        <f t="shared" si="0"/>
        <v>100</v>
      </c>
      <c r="T11" s="1555" t="s">
        <v>8</v>
      </c>
      <c r="U11" s="1556">
        <f t="shared" si="1"/>
        <v>100</v>
      </c>
      <c r="V11" s="1555" t="s">
        <v>8</v>
      </c>
      <c r="W11" s="1556">
        <f t="shared" si="2"/>
        <v>100</v>
      </c>
      <c r="X11" s="1557"/>
      <c r="Y11" s="329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2"/>
      <c r="Q12" s="1147">
        <f t="shared" si="6"/>
        <v>111</v>
      </c>
      <c r="R12" s="1555" t="s">
        <v>8</v>
      </c>
      <c r="S12" s="1556">
        <f t="shared" si="0"/>
        <v>100</v>
      </c>
      <c r="T12" s="1555" t="s">
        <v>8</v>
      </c>
      <c r="U12" s="1556">
        <f t="shared" si="1"/>
        <v>100</v>
      </c>
      <c r="V12" s="1555" t="s">
        <v>8</v>
      </c>
      <c r="W12" s="1556">
        <f t="shared" si="2"/>
        <v>100</v>
      </c>
      <c r="X12" s="1557"/>
      <c r="Y12" s="329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2"/>
      <c r="Q13" s="1147">
        <f t="shared" si="6"/>
        <v>111</v>
      </c>
      <c r="R13" s="1555" t="s">
        <v>8</v>
      </c>
      <c r="S13" s="1556">
        <f t="shared" si="0"/>
        <v>100</v>
      </c>
      <c r="T13" s="1555" t="s">
        <v>8</v>
      </c>
      <c r="U13" s="1556">
        <f t="shared" si="1"/>
        <v>100</v>
      </c>
      <c r="V13" s="1555" t="s">
        <v>8</v>
      </c>
      <c r="W13" s="1556">
        <f t="shared" si="2"/>
        <v>100</v>
      </c>
      <c r="X13" s="1557"/>
      <c r="Y13" s="3298"/>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7"/>
      <c r="Q15" s="1559"/>
      <c r="R15" s="1560"/>
      <c r="S15" s="1561"/>
      <c r="T15" s="1560"/>
      <c r="U15" s="1561"/>
      <c r="V15" s="1560"/>
      <c r="W15" s="1561"/>
      <c r="X15" s="1554"/>
      <c r="Y15" s="3387"/>
      <c r="Z15" s="1562"/>
      <c r="AA15" s="1563">
        <v>1</v>
      </c>
      <c r="AB15" s="1563">
        <v>1</v>
      </c>
      <c r="AC15" s="1563">
        <v>1</v>
      </c>
    </row>
    <row r="16" spans="1:29" ht="42.75">
      <c r="A16" s="532"/>
      <c r="B16" s="2568" t="s">
        <v>2546</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7"/>
      <c r="Q17" s="1559"/>
      <c r="R17" s="1560"/>
      <c r="S17" s="1561"/>
      <c r="T17" s="1560"/>
      <c r="U17" s="1561"/>
      <c r="V17" s="1560"/>
      <c r="W17" s="1561"/>
      <c r="X17" s="1554"/>
      <c r="Y17" s="3387"/>
      <c r="Z17" s="1562"/>
      <c r="AA17" s="1563">
        <v>1</v>
      </c>
      <c r="AB17" s="1563">
        <v>1</v>
      </c>
      <c r="AC17" s="1563">
        <v>1</v>
      </c>
    </row>
    <row r="18" spans="1:29" ht="28.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7"/>
      <c r="Q18" s="2544" t="str">
        <f>B18</f>
        <v>基础设施水平</v>
      </c>
      <c r="R18" s="1560" t="s">
        <v>8</v>
      </c>
      <c r="S18" s="1561">
        <f>F18</f>
        <v>100</v>
      </c>
      <c r="T18" s="1560" t="s">
        <v>8</v>
      </c>
      <c r="U18" s="1561">
        <f>H18</f>
        <v>100</v>
      </c>
      <c r="V18" s="1560" t="s">
        <v>8</v>
      </c>
      <c r="W18" s="1561">
        <f>J18</f>
        <v>100</v>
      </c>
      <c r="X18" s="2546"/>
      <c r="Y18" s="338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7"/>
      <c r="Q19" s="2544"/>
      <c r="R19" s="1560"/>
      <c r="S19" s="1561"/>
      <c r="T19" s="1560"/>
      <c r="U19" s="1561"/>
      <c r="V19" s="1560"/>
      <c r="W19" s="1561"/>
      <c r="X19" s="2546"/>
      <c r="Y19" s="3387"/>
      <c r="Z19" s="2545"/>
      <c r="AA19" s="1563">
        <v>1</v>
      </c>
      <c r="AB19" s="1563">
        <v>1</v>
      </c>
      <c r="AC19" s="1563">
        <v>1</v>
      </c>
    </row>
    <row r="20" spans="1:29" ht="57">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7"/>
      <c r="Q21" s="1559"/>
      <c r="R21" s="1560"/>
      <c r="S21" s="1561"/>
      <c r="T21" s="1560"/>
      <c r="U21" s="1561"/>
      <c r="V21" s="1560"/>
      <c r="W21" s="1561"/>
      <c r="X21" s="1554"/>
      <c r="Y21" s="338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7"/>
      <c r="Q24" s="1559">
        <f t="shared" ref="Q24:Q34"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9"/>
      <c r="Q27" s="1591" t="str">
        <f t="shared" si="11"/>
        <v>成新率</v>
      </c>
      <c r="R27" s="1564" t="s">
        <v>8</v>
      </c>
      <c r="S27" s="1565" t="e">
        <f t="shared" si="12"/>
        <v>#N/A</v>
      </c>
      <c r="T27" s="1564" t="s">
        <v>8</v>
      </c>
      <c r="U27" s="1565" t="e">
        <f t="shared" si="13"/>
        <v>#N/A</v>
      </c>
      <c r="V27" s="1564" t="s">
        <v>8</v>
      </c>
      <c r="W27" s="1565" t="e">
        <f t="shared" si="14"/>
        <v>#N/A</v>
      </c>
      <c r="X27" s="1566"/>
      <c r="Y27" s="338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9"/>
      <c r="Q28" s="1559" t="str">
        <f t="shared" si="11"/>
        <v>物业等级</v>
      </c>
      <c r="R28" s="1560" t="s">
        <v>8</v>
      </c>
      <c r="S28" s="1561">
        <f t="shared" si="12"/>
        <v>100</v>
      </c>
      <c r="T28" s="1560" t="s">
        <v>8</v>
      </c>
      <c r="U28" s="1561">
        <f t="shared" si="13"/>
        <v>100</v>
      </c>
      <c r="V28" s="1560" t="s">
        <v>8</v>
      </c>
      <c r="W28" s="1561">
        <f t="shared" si="14"/>
        <v>100</v>
      </c>
      <c r="X28" s="1554"/>
      <c r="Y28" s="338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9"/>
      <c r="Q29" s="1559" t="str">
        <f t="shared" si="11"/>
        <v>有无电梯</v>
      </c>
      <c r="R29" s="1560" t="s">
        <v>8</v>
      </c>
      <c r="S29" s="1561">
        <f t="shared" si="12"/>
        <v>100</v>
      </c>
      <c r="T29" s="1560" t="s">
        <v>8</v>
      </c>
      <c r="U29" s="1561">
        <f t="shared" si="13"/>
        <v>100</v>
      </c>
      <c r="V29" s="1560" t="s">
        <v>8</v>
      </c>
      <c r="W29" s="1561">
        <f t="shared" si="14"/>
        <v>100</v>
      </c>
      <c r="X29" s="1554"/>
      <c r="Y29" s="338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9"/>
      <c r="Q30" s="1559" t="str">
        <f t="shared" si="11"/>
        <v>建筑面积</v>
      </c>
      <c r="R30" s="1560" t="s">
        <v>8</v>
      </c>
      <c r="S30" s="1561" t="e">
        <f t="shared" si="12"/>
        <v>#N/A</v>
      </c>
      <c r="T30" s="1560" t="s">
        <v>8</v>
      </c>
      <c r="U30" s="1561" t="e">
        <f t="shared" si="13"/>
        <v>#N/A</v>
      </c>
      <c r="V30" s="1560" t="s">
        <v>8</v>
      </c>
      <c r="W30" s="1561" t="e">
        <f t="shared" si="14"/>
        <v>#N/A</v>
      </c>
      <c r="X30" s="1554"/>
      <c r="Y30" s="338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9"/>
      <c r="Q31" s="1147" t="str">
        <f t="shared" si="11"/>
        <v>是否封闭</v>
      </c>
      <c r="R31" s="1555" t="s">
        <v>8</v>
      </c>
      <c r="S31" s="1556">
        <f t="shared" si="12"/>
        <v>100</v>
      </c>
      <c r="T31" s="1555" t="s">
        <v>8</v>
      </c>
      <c r="U31" s="1556">
        <f t="shared" si="13"/>
        <v>100</v>
      </c>
      <c r="V31" s="1555" t="s">
        <v>8</v>
      </c>
      <c r="W31" s="1556">
        <f t="shared" si="14"/>
        <v>100</v>
      </c>
      <c r="X31" s="1557"/>
      <c r="Y31" s="338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9" t="s">
        <v>550</v>
      </c>
      <c r="Q32" s="1559">
        <f t="shared" si="11"/>
        <v>111</v>
      </c>
      <c r="R32" s="1560" t="s">
        <v>8</v>
      </c>
      <c r="S32" s="1561">
        <f t="shared" si="12"/>
        <v>100</v>
      </c>
      <c r="T32" s="1560" t="s">
        <v>8</v>
      </c>
      <c r="U32" s="1561">
        <f t="shared" si="13"/>
        <v>100</v>
      </c>
      <c r="V32" s="1560" t="s">
        <v>8</v>
      </c>
      <c r="W32" s="1561">
        <f t="shared" si="14"/>
        <v>100</v>
      </c>
      <c r="X32" s="1554"/>
      <c r="Y32" s="338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9"/>
      <c r="Q33" s="1559">
        <f t="shared" si="11"/>
        <v>111</v>
      </c>
      <c r="R33" s="1560" t="s">
        <v>8</v>
      </c>
      <c r="S33" s="1561">
        <f t="shared" si="12"/>
        <v>100</v>
      </c>
      <c r="T33" s="1560" t="s">
        <v>8</v>
      </c>
      <c r="U33" s="1561">
        <f t="shared" si="13"/>
        <v>100</v>
      </c>
      <c r="V33" s="1560" t="s">
        <v>8</v>
      </c>
      <c r="W33" s="1561">
        <f t="shared" si="14"/>
        <v>100</v>
      </c>
      <c r="X33" s="1554"/>
      <c r="Y33" s="338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52" t="str">
        <f>A35</f>
        <v>成交单价（元/平方米）</v>
      </c>
      <c r="Q35" s="3352"/>
      <c r="R35" s="3469">
        <f>E35</f>
        <v>0</v>
      </c>
      <c r="S35" s="3469"/>
      <c r="T35" s="3469">
        <f>G35</f>
        <v>0</v>
      </c>
      <c r="U35" s="3469"/>
      <c r="V35" s="3469">
        <f>I35</f>
        <v>0</v>
      </c>
      <c r="W35" s="3469"/>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52" t="str">
        <f>A36</f>
        <v>比较价格（元/平方米）</v>
      </c>
      <c r="Q36" s="3352"/>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46"/>
      <c r="Y36" s="1546"/>
      <c r="Z36" s="1546"/>
      <c r="AA36" s="1546"/>
      <c r="AB36" s="1546"/>
      <c r="AC36" s="1546"/>
    </row>
    <row r="37" spans="1:29" ht="15.75" thickBot="1">
      <c r="A37" s="621" t="s">
        <v>2927</v>
      </c>
      <c r="B37" s="622"/>
      <c r="C37" s="2601" t="e">
        <f>R37</f>
        <v>#DIV/0!</v>
      </c>
      <c r="D37" s="2601"/>
      <c r="E37" s="2601"/>
      <c r="F37" s="2601"/>
      <c r="G37" s="2601"/>
      <c r="H37" s="2601"/>
      <c r="I37" s="2601"/>
      <c r="J37" s="2601"/>
      <c r="K37" s="1599"/>
      <c r="L37" s="2130"/>
      <c r="M37" s="2131"/>
      <c r="N37" s="2131"/>
      <c r="O37" s="2131"/>
      <c r="P37" s="3349" t="str">
        <f>A37</f>
        <v>估价对象XX用房的比较价格（楼面单价，元/平方米）</v>
      </c>
      <c r="Q37" s="3350"/>
      <c r="R37" s="3468" t="e">
        <f>IF(F1="售价",ROUND(AVERAGE(R36:V36),0),ROUND(AVERAGE(R36:V36),1))</f>
        <v>#DIV/0!</v>
      </c>
      <c r="S37" s="3468"/>
      <c r="T37" s="3468"/>
      <c r="U37" s="3468"/>
      <c r="V37" s="3468"/>
      <c r="W37" s="346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2019-4</v>
      </c>
      <c r="D46" s="2760">
        <f>EDATE(C46,-1)</f>
        <v>43525</v>
      </c>
      <c r="E46" s="2760">
        <f t="shared" ref="E46:O46" si="16">EDATE(D46,-1)</f>
        <v>43497</v>
      </c>
      <c r="F46" s="2760">
        <f t="shared" si="16"/>
        <v>43466</v>
      </c>
      <c r="G46" s="2760">
        <f t="shared" si="16"/>
        <v>43435</v>
      </c>
      <c r="H46" s="2760">
        <f t="shared" si="16"/>
        <v>43405</v>
      </c>
      <c r="I46" s="2760">
        <f t="shared" si="16"/>
        <v>43374</v>
      </c>
      <c r="J46" s="2760">
        <f t="shared" si="16"/>
        <v>43344</v>
      </c>
      <c r="K46" s="2760">
        <f t="shared" si="16"/>
        <v>43313</v>
      </c>
      <c r="L46" s="2760">
        <f t="shared" si="16"/>
        <v>43282</v>
      </c>
      <c r="M46" s="2760">
        <f t="shared" si="16"/>
        <v>43252</v>
      </c>
      <c r="N46" s="2760">
        <f t="shared" si="16"/>
        <v>43221</v>
      </c>
      <c r="O46" s="2760">
        <f t="shared" si="16"/>
        <v>43191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78" t="s">
        <v>2304</v>
      </c>
      <c r="D1" s="3479"/>
      <c r="E1" s="3479"/>
      <c r="F1" s="3479"/>
      <c r="G1" s="3479"/>
      <c r="H1" s="3479"/>
      <c r="I1" s="3479"/>
      <c r="J1" s="3479"/>
      <c r="K1" s="3479"/>
      <c r="L1" s="3479"/>
      <c r="M1" s="3479"/>
      <c r="N1" s="3479"/>
      <c r="O1" s="3479"/>
      <c r="P1" s="3479"/>
      <c r="Q1" s="3479"/>
      <c r="R1" s="3479"/>
      <c r="S1" s="348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2917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2916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受贵公司委托，我公司对山东省日照市东港区蓝色大道以北、海六路以西住宅、商业用地出让国有建设用地使用权抵押价格进行了预评估。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日照市东港区蓝色大道以北、海六路以西住宅、商业用地出让国有建设用地使用权。根据《国有土地使用证》[]，估价对象（分摊）出让国有建设用地使用权面积为103677.9平方米。根据《建设工程规划许可证》[]、《出让合同》[]，估价对象规划建筑面积为129597.37平方米。</v>
      </c>
    </row>
    <row r="7" spans="1:4" ht="93.75">
      <c r="A7" s="2829" t="s">
        <v>2748</v>
      </c>
    </row>
    <row r="8" spans="1:4" ht="18.75">
      <c r="A8" s="1780" t="s">
        <v>1906</v>
      </c>
    </row>
    <row r="9" spans="1:4" ht="37.5">
      <c r="A9" s="1782" t="str">
        <f>IF(项目基本情况!B8="抵押",IF(项目基本情况!B5=项目基本情况!B6,定义!C51,定义!B51),定义!D51)</f>
        <v>拟使用山东省日照市东港区蓝色大道以北、海六路以西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2019年4月4日（评估专业人员勘察现场之日）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根据委托估价方介绍及评估专业人员现场勘查，本次评估估价对象实际土地开发程度为红线外市政基础设施达“七通”（即通路、通电、通讯、通上水、通上水、通热、燃气）、宗地红线内场地平整。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根据《国有土地使用证》[]，估价对象（分摊）出让国有建设用地使用权面积为103677.9平方米。根据《建设工程规划许可证》[]、《出让合同》[]，估价对象规划建筑面积为129597.37平方米。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43559</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14" sqref="N14"/>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2038</v>
      </c>
      <c r="B1" s="3189"/>
      <c r="C1" s="3189"/>
      <c r="D1" s="3189"/>
      <c r="E1" s="3189"/>
      <c r="F1" s="3189"/>
      <c r="G1" s="3189"/>
      <c r="H1" s="3189"/>
      <c r="I1" s="3189"/>
      <c r="J1" s="3189"/>
      <c r="K1" s="3189"/>
      <c r="L1" s="3189"/>
      <c r="M1" s="3189"/>
      <c r="N1" s="3189"/>
      <c r="O1" s="3189"/>
      <c r="P1" s="3189"/>
      <c r="Q1" s="3189"/>
      <c r="R1" s="3189"/>
    </row>
    <row r="2" spans="1:18">
      <c r="A2" s="1793" t="s">
        <v>2040</v>
      </c>
      <c r="B2" s="1793"/>
      <c r="C2" s="1793"/>
      <c r="D2" s="1793"/>
      <c r="E2" s="1793"/>
      <c r="F2" s="1793"/>
      <c r="G2" s="1793"/>
      <c r="H2" s="1793"/>
      <c r="I2" s="1794"/>
      <c r="J2" s="1794"/>
      <c r="K2" s="1795" t="str">
        <f>"估价期日："&amp;TEXT(项目基本情况!D3,"yyyy年m月d日;;")</f>
        <v>估价期日：2019年4月4日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0" t="s">
        <v>2029</v>
      </c>
      <c r="B3" s="3190" t="s">
        <v>2731</v>
      </c>
      <c r="C3" s="3191" t="s">
        <v>2030</v>
      </c>
      <c r="D3" s="3190" t="s">
        <v>2735</v>
      </c>
      <c r="E3" s="3185" t="s">
        <v>2031</v>
      </c>
      <c r="F3" s="3185"/>
      <c r="G3" s="3185"/>
      <c r="H3" s="3185" t="s">
        <v>2032</v>
      </c>
      <c r="I3" s="3185"/>
      <c r="J3" s="3185"/>
      <c r="K3" s="3191" t="s">
        <v>2033</v>
      </c>
      <c r="L3" s="3191" t="s">
        <v>2034</v>
      </c>
      <c r="M3" s="3190" t="s">
        <v>2732</v>
      </c>
      <c r="N3" s="3192" t="str">
        <f>"（分摊）"&amp;项目基本情况!B16&amp;"国有建设用地使用权面积/㎡"</f>
        <v>（分摊）出让国有建设用地使用权面积/㎡</v>
      </c>
      <c r="O3" s="3190" t="s">
        <v>2063</v>
      </c>
      <c r="P3" s="3191" t="s">
        <v>2043</v>
      </c>
      <c r="Q3" s="3191" t="s">
        <v>2064</v>
      </c>
      <c r="R3" s="3191" t="s">
        <v>2035</v>
      </c>
    </row>
    <row r="4" spans="1:18" ht="36.75" customHeight="1">
      <c r="A4" s="3190"/>
      <c r="B4" s="3190"/>
      <c r="C4" s="3191"/>
      <c r="D4" s="3190"/>
      <c r="E4" s="2614" t="s">
        <v>2042</v>
      </c>
      <c r="F4" s="2614" t="s">
        <v>2744</v>
      </c>
      <c r="G4" s="2614" t="s">
        <v>2036</v>
      </c>
      <c r="H4" s="2614" t="s">
        <v>2037</v>
      </c>
      <c r="I4" s="2614" t="s">
        <v>2745</v>
      </c>
      <c r="J4" s="2614" t="s">
        <v>2036</v>
      </c>
      <c r="K4" s="3191"/>
      <c r="L4" s="3191"/>
      <c r="M4" s="3190"/>
      <c r="N4" s="3192"/>
      <c r="O4" s="3190"/>
      <c r="P4" s="3191"/>
      <c r="Q4" s="3191"/>
      <c r="R4" s="319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103677.9</v>
      </c>
      <c r="O5" s="1796">
        <f>项目基本情况!C21</f>
        <v>129597.37</v>
      </c>
      <c r="P5" s="1796">
        <f ca="1">结果表!E42</f>
        <v>1403</v>
      </c>
      <c r="Q5" s="1796">
        <f ca="1">结果表!D42</f>
        <v>1122</v>
      </c>
      <c r="R5" s="1797">
        <f ca="1">结果表!C42</f>
        <v>14543</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798">
        <f ca="1">结果表!O39</f>
        <v>14543</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798"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4" t="s">
        <v>2065</v>
      </c>
      <c r="B1" s="3194"/>
      <c r="C1" s="3194"/>
      <c r="D1" s="3194"/>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3" t="s">
        <v>2066</v>
      </c>
      <c r="B5" s="3193"/>
      <c r="C5" s="3193"/>
      <c r="D5" s="3193"/>
    </row>
    <row r="6" spans="1:4">
      <c r="A6" s="3194" t="s">
        <v>2044</v>
      </c>
      <c r="B6" s="3194"/>
      <c r="C6" s="3194"/>
      <c r="D6" s="3194"/>
    </row>
    <row r="7" spans="1:4" ht="33" customHeight="1">
      <c r="A7" s="3194" t="s">
        <v>2575</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6"/>
      <c r="C11" s="3196"/>
      <c r="D11" s="3196"/>
    </row>
    <row r="12" spans="1:4" ht="168" customHeight="1">
      <c r="A12" s="3193" t="s">
        <v>2068</v>
      </c>
      <c r="B12" s="3193"/>
      <c r="C12" s="3193"/>
      <c r="D12" s="3193"/>
    </row>
    <row r="13" spans="1:4">
      <c r="A13" s="3197" t="s">
        <v>2746</v>
      </c>
      <c r="B13" s="3197"/>
      <c r="C13" s="3197"/>
      <c r="D13" s="3197"/>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2702</v>
      </c>
      <c r="B17" s="3194"/>
      <c r="C17" s="3194"/>
      <c r="D17" s="3194"/>
    </row>
    <row r="18" spans="1:4">
      <c r="A18" s="3194" t="s">
        <v>2694</v>
      </c>
      <c r="B18" s="3194"/>
      <c r="C18" s="3194"/>
      <c r="D18" s="3194"/>
    </row>
    <row r="19" spans="1:4">
      <c r="A19" s="2824" t="s">
        <v>2695</v>
      </c>
      <c r="B19" s="2824" t="s">
        <v>2696</v>
      </c>
      <c r="C19" s="2824" t="s">
        <v>2697</v>
      </c>
      <c r="D19" s="2824" t="s">
        <v>2698</v>
      </c>
    </row>
    <row r="20" spans="1:4">
      <c r="A20" s="2824" t="str">
        <f>项目基本情况!B4</f>
        <v>赵雯</v>
      </c>
      <c r="B20" s="2824">
        <f ca="1">项目基本情况!C4</f>
        <v>2011110090</v>
      </c>
      <c r="C20" s="2826"/>
      <c r="D20" s="1786" t="s">
        <v>2703</v>
      </c>
    </row>
    <row r="21" spans="1:4">
      <c r="A21" s="2824" t="str">
        <f>项目基本情况!D4</f>
        <v>崔锴</v>
      </c>
      <c r="B21" s="2824">
        <f ca="1">项目基本情况!E4</f>
        <v>2010110070</v>
      </c>
      <c r="C21" s="2826"/>
      <c r="D21" s="1786" t="s">
        <v>2704</v>
      </c>
    </row>
    <row r="23" spans="1:4">
      <c r="A23" s="3194" t="s">
        <v>2699</v>
      </c>
      <c r="B23" s="3194"/>
      <c r="C23" s="3194"/>
      <c r="D23" s="3194"/>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5" t="s">
        <v>53</v>
      </c>
      <c r="B15" s="3206" t="s">
        <v>846</v>
      </c>
      <c r="C15" s="3202"/>
    </row>
    <row r="16" spans="1:7" ht="14.25">
      <c r="A16" s="3205"/>
      <c r="B16" s="3203" t="s">
        <v>54</v>
      </c>
      <c r="C16" s="1168" t="s">
        <v>53</v>
      </c>
    </row>
    <row r="17" spans="1:3" ht="14.25">
      <c r="A17" s="3205"/>
      <c r="B17" s="3203"/>
      <c r="C17" s="1168" t="s">
        <v>55</v>
      </c>
    </row>
    <row r="18" spans="1:3" ht="14.25">
      <c r="A18" s="3205"/>
      <c r="B18" s="3203"/>
      <c r="C18" s="1168" t="s">
        <v>56</v>
      </c>
    </row>
    <row r="19" spans="1:3" ht="14.25">
      <c r="A19" s="3205"/>
      <c r="B19" s="3201" t="s">
        <v>57</v>
      </c>
      <c r="C19" s="3202"/>
    </row>
    <row r="20" spans="1:3" ht="14.25">
      <c r="A20" s="1169" t="s">
        <v>58</v>
      </c>
      <c r="B20" s="1170"/>
      <c r="C20" s="1171"/>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2" t="s">
        <v>837</v>
      </c>
    </row>
    <row r="25" spans="1:3" ht="14.25">
      <c r="A25" s="3204"/>
      <c r="B25" s="3208"/>
      <c r="C25" s="1172" t="s">
        <v>838</v>
      </c>
    </row>
    <row r="26" spans="1:3" ht="14.25">
      <c r="A26" s="3204"/>
      <c r="B26" s="3208"/>
      <c r="C26" s="1172" t="s">
        <v>839</v>
      </c>
    </row>
    <row r="27" spans="1:3" ht="14.25">
      <c r="A27" s="3204"/>
      <c r="B27" s="3208"/>
      <c r="C27" s="1172" t="s">
        <v>840</v>
      </c>
    </row>
    <row r="28" spans="1:3" ht="14.25">
      <c r="A28" s="3204"/>
      <c r="B28" s="3208"/>
      <c r="C28" s="1172" t="s">
        <v>841</v>
      </c>
    </row>
    <row r="29" spans="1:3" ht="14.25">
      <c r="A29" s="3204"/>
      <c r="B29" s="3208"/>
      <c r="C29" s="1172" t="s">
        <v>842</v>
      </c>
    </row>
    <row r="30" spans="1:3" ht="14.25">
      <c r="A30" s="3204"/>
      <c r="B30" s="3208"/>
      <c r="C30" s="1172" t="s">
        <v>843</v>
      </c>
    </row>
    <row r="31" spans="1:3" ht="14.25">
      <c r="A31" s="3204"/>
      <c r="B31" s="3208"/>
      <c r="C31" s="1172" t="s">
        <v>844</v>
      </c>
    </row>
    <row r="32" spans="1:3" ht="14.25">
      <c r="A32" s="3204"/>
      <c r="B32" s="3208"/>
      <c r="C32" s="1172" t="s">
        <v>1646</v>
      </c>
    </row>
    <row r="33" spans="1:3" ht="14.25">
      <c r="A33" s="3204"/>
      <c r="B33" s="3198" t="s">
        <v>1652</v>
      </c>
      <c r="C33" s="1172" t="s">
        <v>1647</v>
      </c>
    </row>
    <row r="34" spans="1:3" ht="14.25">
      <c r="A34" s="3204"/>
      <c r="B34" s="3199"/>
      <c r="C34" s="1177" t="s">
        <v>1648</v>
      </c>
    </row>
    <row r="35" spans="1:3" ht="14.25">
      <c r="A35" s="3204"/>
      <c r="B35" s="3199"/>
      <c r="C35" s="1178" t="s">
        <v>1649</v>
      </c>
    </row>
    <row r="36" spans="1:3" ht="14.25">
      <c r="A36" s="3204"/>
      <c r="B36" s="3199"/>
      <c r="C36" s="1178" t="s">
        <v>1650</v>
      </c>
    </row>
    <row r="37" spans="1:3" ht="14.25">
      <c r="A37" s="3204"/>
      <c r="B37" s="320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43559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f ca="1">IF(C11&lt;B2,"已过期",1120100036)</f>
        <v>1120100036</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2973</v>
      </c>
      <c r="B14" s="3132">
        <f ca="1">IF(C14&lt;B2,"已过期",1120040230)</f>
        <v>1120040230</v>
      </c>
      <c r="C14" s="3136">
        <v>43835</v>
      </c>
      <c r="D14" s="3137" t="s">
        <v>2974</v>
      </c>
      <c r="E14" s="3132">
        <f ca="1">IF(F14&lt;B2,"已过期",98030020)</f>
        <v>98030020</v>
      </c>
      <c r="F14" s="3135">
        <v>47118</v>
      </c>
    </row>
    <row r="15" spans="1:6" ht="20.25" customHeight="1">
      <c r="A15" s="3132" t="s">
        <v>2574</v>
      </c>
      <c r="B15" s="3132">
        <f ca="1">IF(C15&lt;B2,"已过期",1120070085)</f>
        <v>1120070085</v>
      </c>
      <c r="C15" s="3136">
        <v>43814</v>
      </c>
      <c r="D15" s="3132" t="s">
        <v>2975</v>
      </c>
      <c r="E15" s="3132">
        <f ca="1">IF(F15&lt;B2,"已过期",2004110128)</f>
        <v>2004110128</v>
      </c>
      <c r="F15" s="3138">
        <v>47118</v>
      </c>
    </row>
    <row r="16" spans="1:6" ht="20.25" customHeight="1">
      <c r="A16" s="3132" t="s">
        <v>1923</v>
      </c>
      <c r="B16" s="3132">
        <f ca="1">IF(C16&lt;B2,"已过期",1120140022)</f>
        <v>1120140022</v>
      </c>
      <c r="C16" s="3134">
        <v>44029</v>
      </c>
      <c r="D16" s="3132" t="s">
        <v>2976</v>
      </c>
      <c r="E16" s="3132">
        <f ca="1">IF(F16&lt;B2,"已过期",2008110059)</f>
        <v>2008110059</v>
      </c>
      <c r="F16" s="3135">
        <v>47177</v>
      </c>
    </row>
    <row r="17" spans="1:7" ht="20.25" customHeight="1">
      <c r="A17" s="3132"/>
      <c r="B17" s="3132"/>
      <c r="C17" s="3134"/>
      <c r="D17" s="3137" t="s">
        <v>2977</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09" t="s">
        <v>1926</v>
      </c>
      <c r="B25" s="3209"/>
      <c r="C25" s="3209"/>
      <c r="D25" s="3209"/>
      <c r="E25" s="3209"/>
      <c r="F25" s="3209"/>
      <c r="G25" s="3209"/>
    </row>
    <row r="26" spans="1:7" ht="20.25" customHeight="1">
      <c r="A26" s="3210" t="s">
        <v>1927</v>
      </c>
      <c r="B26" s="3210"/>
      <c r="C26" s="3210"/>
      <c r="D26" s="3210" t="s">
        <v>1928</v>
      </c>
      <c r="E26" s="3210"/>
      <c r="F26" s="3210"/>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2935</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2947</v>
      </c>
      <c r="C18" s="1541"/>
    </row>
    <row r="19" spans="1:3">
      <c r="A19" s="8" t="s">
        <v>120</v>
      </c>
      <c r="B19" s="3064" t="s">
        <v>2955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日照市东港区蓝色大道以北、海六路以西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1"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4日，在规划利用条件下、设定土地开发程度为红线外“七通”、宗地内场地平整，设定用途为，剩余土地使用年限为的出让国有建设用地使用权价格。</v>
      </c>
      <c r="D53" s="1753"/>
      <c r="E53" s="1753"/>
    </row>
    <row r="54" spans="1:5">
      <c r="A54" s="3211"/>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1"/>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1"/>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1"/>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2019-04-04T08:04:37Z</dcterms:modified>
</cp:coreProperties>
</file>