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朝阳区芍药居北里甲207号楼\"/>
    </mc:Choice>
  </mc:AlternateContent>
  <xr:revisionPtr revIDLastSave="0" documentId="13_ncr:1_{2AC453F0-50F9-47CB-940A-29C574D20100}" xr6:coauthVersionLast="47" xr6:coauthVersionMax="47" xr10:uidLastSave="{00000000-0000-0000-0000-000000000000}"/>
  <bookViews>
    <workbookView xWindow="-120" yWindow="-120" windowWidth="29040" windowHeight="15840"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sheetId="15" r:id="rId25"/>
    <sheet name="案例" sheetId="81" state="hidden" r:id="rId26"/>
    <sheet name="利润表" sheetId="82" r:id="rId27"/>
    <sheet name="物业台账明细" sheetId="84" r:id="rId28"/>
    <sheet name="收益法 (元)" sheetId="6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9" i="82" l="1"/>
  <c r="B23" i="82"/>
  <c r="B25" i="82"/>
  <c r="C5" i="82"/>
  <c r="N6" i="1"/>
  <c r="N23" i="1"/>
  <c r="N21" i="1"/>
  <c r="B8" i="82"/>
  <c r="D34" i="82"/>
  <c r="L5" i="82"/>
  <c r="D5" i="82"/>
  <c r="D4" i="82"/>
  <c r="R27" i="77"/>
  <c r="J22" i="84"/>
  <c r="J21" i="84"/>
  <c r="Y20" i="84"/>
  <c r="Y19" i="84"/>
  <c r="Y18" i="84"/>
  <c r="Y17" i="84"/>
  <c r="Y16" i="84"/>
  <c r="Y15" i="84"/>
  <c r="Y14" i="84"/>
  <c r="Y13" i="84"/>
  <c r="Y12" i="84"/>
  <c r="Y11" i="84"/>
  <c r="Y10" i="84"/>
  <c r="Y9" i="84"/>
  <c r="Y8" i="84"/>
  <c r="C53" i="82"/>
  <c r="B53" i="82"/>
  <c r="C50" i="82"/>
  <c r="B50" i="82"/>
  <c r="C49" i="82"/>
  <c r="B49" i="82"/>
  <c r="C47" i="82"/>
  <c r="B47" i="82"/>
  <c r="C46" i="82"/>
  <c r="B46" i="82"/>
  <c r="C44" i="82"/>
  <c r="B44" i="82"/>
  <c r="C43" i="82"/>
  <c r="B43" i="82"/>
  <c r="C42" i="82"/>
  <c r="B42" i="82"/>
  <c r="C41" i="82"/>
  <c r="B41" i="82"/>
  <c r="C40" i="82"/>
  <c r="B40" i="82"/>
  <c r="C39" i="82"/>
  <c r="B39" i="82"/>
  <c r="C38" i="82"/>
  <c r="B38" i="82"/>
  <c r="C37" i="82"/>
  <c r="B37" i="82"/>
  <c r="C36" i="82"/>
  <c r="B36" i="82"/>
  <c r="C35" i="82"/>
  <c r="B35" i="82"/>
  <c r="C34" i="82"/>
  <c r="B34" i="82"/>
  <c r="C33" i="82"/>
  <c r="C48" i="82" s="1"/>
  <c r="C52" i="82" s="1"/>
  <c r="C54" i="82" s="1"/>
  <c r="B33" i="82"/>
  <c r="B48" i="82" s="1"/>
  <c r="B52" i="82" s="1"/>
  <c r="B54" i="82" s="1"/>
  <c r="B31" i="82"/>
  <c r="A31" i="82"/>
  <c r="J23" i="82"/>
  <c r="J25" i="82" s="1"/>
  <c r="K19" i="82"/>
  <c r="K23" i="82" s="1"/>
  <c r="K25" i="82" s="1"/>
  <c r="J19" i="82"/>
  <c r="G24" i="82"/>
  <c r="F24" i="82"/>
  <c r="G21" i="82"/>
  <c r="F21" i="82"/>
  <c r="G20" i="82"/>
  <c r="F20" i="82"/>
  <c r="G18" i="82"/>
  <c r="F18" i="82"/>
  <c r="G17" i="82"/>
  <c r="F17" i="82"/>
  <c r="G15" i="82"/>
  <c r="F15" i="82"/>
  <c r="G14" i="82"/>
  <c r="F14" i="82"/>
  <c r="G13" i="82"/>
  <c r="F13" i="82"/>
  <c r="G12" i="82"/>
  <c r="F12" i="82"/>
  <c r="G11" i="82"/>
  <c r="F11" i="82"/>
  <c r="G10" i="82"/>
  <c r="F10" i="82"/>
  <c r="G9" i="82"/>
  <c r="F9" i="82"/>
  <c r="G8" i="82"/>
  <c r="F8" i="82"/>
  <c r="G7" i="82"/>
  <c r="F7" i="82"/>
  <c r="G6" i="82"/>
  <c r="F6" i="82"/>
  <c r="G5" i="82"/>
  <c r="F5" i="82"/>
  <c r="G4" i="82"/>
  <c r="G19" i="82" s="1"/>
  <c r="G23" i="82" s="1"/>
  <c r="G25" i="82" s="1"/>
  <c r="F4" i="82"/>
  <c r="F19" i="82" s="1"/>
  <c r="F23" i="82" s="1"/>
  <c r="F25" i="82" s="1"/>
  <c r="F2" i="82"/>
  <c r="E2" i="82"/>
  <c r="C24" i="82"/>
  <c r="B24" i="82"/>
  <c r="C21" i="82"/>
  <c r="B21" i="82"/>
  <c r="C20" i="82"/>
  <c r="B20" i="82"/>
  <c r="C18" i="82"/>
  <c r="B18" i="82"/>
  <c r="C17" i="82"/>
  <c r="B17" i="82"/>
  <c r="C15" i="82"/>
  <c r="B15" i="82"/>
  <c r="C14" i="82"/>
  <c r="B14" i="82"/>
  <c r="C13" i="82"/>
  <c r="B13" i="82"/>
  <c r="C12" i="82"/>
  <c r="B12" i="82"/>
  <c r="C11" i="82"/>
  <c r="B11" i="82"/>
  <c r="C10" i="82"/>
  <c r="B10" i="82"/>
  <c r="C9" i="82"/>
  <c r="B9" i="82"/>
  <c r="C8" i="82"/>
  <c r="C7" i="82"/>
  <c r="B7" i="82"/>
  <c r="C6" i="82"/>
  <c r="B6" i="82"/>
  <c r="B5" i="82"/>
  <c r="C4" i="82"/>
  <c r="B4" i="82"/>
  <c r="B2" i="82"/>
  <c r="A2" i="82"/>
  <c r="U53" i="80"/>
  <c r="C19" i="82" l="1"/>
  <c r="C23" i="82" s="1"/>
  <c r="C25" i="82" s="1"/>
  <c r="U52" i="80"/>
  <c r="U6" i="1" s="1"/>
  <c r="U49" i="80"/>
  <c r="U50" i="80" s="1"/>
  <c r="V50" i="80" s="1"/>
  <c r="U48" i="80"/>
  <c r="V48" i="80" s="1"/>
  <c r="V46" i="80"/>
  <c r="V47" i="80"/>
  <c r="V49" i="80"/>
  <c r="V51" i="80"/>
  <c r="V45" i="80"/>
  <c r="U45" i="80"/>
  <c r="U6" i="43"/>
  <c r="U3" i="43"/>
  <c r="U4" i="43"/>
  <c r="U5" i="43"/>
  <c r="U2" i="43"/>
  <c r="D37" i="43"/>
  <c r="G51" i="43"/>
  <c r="G52" i="43"/>
  <c r="G53" i="43"/>
  <c r="G54" i="43"/>
  <c r="G55" i="43"/>
  <c r="G56" i="43"/>
  <c r="G57" i="43"/>
  <c r="G58" i="43"/>
  <c r="G50" i="43"/>
  <c r="I7" i="6"/>
  <c r="Y6" i="1"/>
  <c r="B4" i="77"/>
  <c r="G19" i="6"/>
  <c r="F19" i="6"/>
  <c r="C19" i="6"/>
  <c r="K13" i="3"/>
  <c r="I13" i="3"/>
  <c r="T52" i="80"/>
  <c r="E27" i="45"/>
  <c r="V52" i="80"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AR18" i="79"/>
  <c r="AR19" i="79" s="1"/>
  <c r="AR20" i="79" s="1"/>
  <c r="AR21" i="79" s="1"/>
  <c r="AR22" i="79" s="1"/>
  <c r="AR23" i="79" s="1"/>
  <c r="AR24" i="79" s="1"/>
  <c r="T35" i="79"/>
  <c r="T34" i="79"/>
  <c r="T33"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6" i="79"/>
  <c r="AK16" i="79" s="1"/>
  <c r="AH16" i="79"/>
  <c r="W51" i="79"/>
  <c r="AK51" i="79" s="1"/>
  <c r="AH51" i="79"/>
  <c r="W44" i="79"/>
  <c r="AK44" i="79" s="1"/>
  <c r="AH44" i="79"/>
  <c r="W23" i="79"/>
  <c r="AK23" i="79" s="1"/>
  <c r="AH23" i="79"/>
  <c r="W12" i="79"/>
  <c r="AK12" i="79" s="1"/>
  <c r="AH12" i="79"/>
  <c r="W21" i="79"/>
  <c r="AK21" i="79" s="1"/>
  <c r="AH21" i="79"/>
  <c r="W47" i="79"/>
  <c r="AK47" i="79" s="1"/>
  <c r="AH47" i="79"/>
  <c r="W45" i="79"/>
  <c r="AK45" i="79" s="1"/>
  <c r="AH45" i="79"/>
  <c r="W19" i="79"/>
  <c r="AK19" i="79" s="1"/>
  <c r="AH19" i="79"/>
  <c r="W50" i="79"/>
  <c r="AK50" i="79" s="1"/>
  <c r="AH50" i="79"/>
  <c r="W46" i="79"/>
  <c r="AK46" i="79" s="1"/>
  <c r="AH46" i="79"/>
  <c r="W34" i="79"/>
  <c r="AK34" i="79" s="1"/>
  <c r="AH34"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C23" i="77" l="1"/>
  <c r="D18" i="77"/>
  <c r="D16" i="77"/>
  <c r="D10" i="77"/>
  <c r="D17" i="77"/>
  <c r="D9" i="77"/>
  <c r="D15" i="77"/>
  <c r="E24" i="43"/>
  <c r="D23" i="77" l="1"/>
  <c r="C29" i="77"/>
  <c r="Q32" i="43"/>
  <c r="P32" i="43"/>
  <c r="O32" i="43"/>
  <c r="N32" i="43"/>
  <c r="M32" i="43"/>
  <c r="AH11" i="71"/>
  <c r="AG11" i="71"/>
  <c r="AE11" i="71"/>
  <c r="AF11" i="71" s="1"/>
  <c r="AD11" i="71"/>
  <c r="Q11" i="71"/>
  <c r="P11" i="71"/>
  <c r="O11" i="71"/>
  <c r="N11" i="71"/>
  <c r="D26" i="77" l="1"/>
  <c r="D29" i="77"/>
  <c r="E23" i="77"/>
  <c r="AH12" i="71"/>
  <c r="AG12" i="71"/>
  <c r="AE12" i="71"/>
  <c r="AF12" i="71" s="1"/>
  <c r="AD12" i="71"/>
  <c r="Q12" i="71"/>
  <c r="P12" i="71"/>
  <c r="O12" i="71"/>
  <c r="N12" i="71"/>
  <c r="D32" i="77" l="1"/>
  <c r="D38" i="77" s="1"/>
  <c r="E26" i="77"/>
  <c r="E29" i="77"/>
  <c r="AH13" i="71"/>
  <c r="AG13" i="71"/>
  <c r="AE13" i="71"/>
  <c r="AF13" i="71" s="1"/>
  <c r="AD13" i="71"/>
  <c r="Q13" i="71"/>
  <c r="P13" i="71"/>
  <c r="O13" i="71"/>
  <c r="N13" i="71"/>
  <c r="E32" i="77" l="1"/>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77" i="43"/>
  <c r="S25" i="40"/>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E5" i="6" s="1"/>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C5" i="3" s="1"/>
  <c r="BD554" i="3"/>
  <c r="BE554" i="3"/>
  <c r="BF554" i="3"/>
  <c r="BG554" i="3"/>
  <c r="BH554" i="3"/>
  <c r="BI554" i="3"/>
  <c r="BJ554" i="3"/>
  <c r="BK554" i="3"/>
  <c r="BK5" i="3" s="1"/>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A570" i="3" s="1"/>
  <c r="BC570" i="3"/>
  <c r="BD570" i="3"/>
  <c r="BE570" i="3"/>
  <c r="BF570" i="3"/>
  <c r="BG570" i="3"/>
  <c r="BH570" i="3"/>
  <c r="BI570" i="3"/>
  <c r="BJ570" i="3"/>
  <c r="BK570" i="3"/>
  <c r="BM570" i="3"/>
  <c r="BN570" i="3"/>
  <c r="BO570" i="3"/>
  <c r="BL570" i="3" s="1"/>
  <c r="BP570" i="3"/>
  <c r="BQ570" i="3"/>
  <c r="BR570" i="3"/>
  <c r="BS570" i="3"/>
  <c r="BT570" i="3"/>
  <c r="H571" i="3"/>
  <c r="AC571" i="3"/>
  <c r="G571" i="3" s="1"/>
  <c r="BB571" i="3"/>
  <c r="BA571" i="3" s="1"/>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G579" i="3" s="1"/>
  <c r="BB579" i="3"/>
  <c r="BA579" i="3" s="1"/>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F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c r="D71" i="37"/>
  <c r="E71" i="37" s="1"/>
  <c r="F71" i="37" s="1"/>
  <c r="G71" i="37" s="1"/>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F25" i="36" s="1"/>
  <c r="S25" i="36" s="1"/>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J13" i="36" s="1"/>
  <c r="B57" i="36"/>
  <c r="J12" i="36"/>
  <c r="B55" i="36"/>
  <c r="J11" i="36" s="1"/>
  <c r="AC11" i="36" s="1"/>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AA35" i="35" s="1"/>
  <c r="B97" i="35"/>
  <c r="H34" i="35" s="1"/>
  <c r="B77" i="35"/>
  <c r="B75" i="35"/>
  <c r="J24" i="35" s="1"/>
  <c r="AC24" i="35"/>
  <c r="B73" i="35"/>
  <c r="B57" i="35"/>
  <c r="B61" i="35"/>
  <c r="H13" i="35" s="1"/>
  <c r="U13" i="35" s="1"/>
  <c r="B59" i="35"/>
  <c r="B131" i="34"/>
  <c r="B129" i="34"/>
  <c r="B127" i="34"/>
  <c r="F45" i="34" s="1"/>
  <c r="S45" i="34" s="1"/>
  <c r="B99" i="34"/>
  <c r="B97" i="34"/>
  <c r="B95" i="34"/>
  <c r="B93" i="34"/>
  <c r="J29" i="34" s="1"/>
  <c r="AC29" i="34" s="1"/>
  <c r="B75" i="34"/>
  <c r="B73" i="34"/>
  <c r="B71" i="34"/>
  <c r="J12" i="34" s="1"/>
  <c r="W12" i="34" s="1"/>
  <c r="B130" i="33"/>
  <c r="F46" i="33" s="1"/>
  <c r="B128" i="33"/>
  <c r="J45" i="33" s="1"/>
  <c r="B126" i="33"/>
  <c r="B98" i="33"/>
  <c r="B96" i="33"/>
  <c r="F30" i="33" s="1"/>
  <c r="AA30" i="33" s="1"/>
  <c r="B94" i="33"/>
  <c r="H29" i="33" s="1"/>
  <c r="B74" i="33"/>
  <c r="B72" i="33"/>
  <c r="B70" i="33"/>
  <c r="H12" i="33" s="1"/>
  <c r="U12" i="33" s="1"/>
  <c r="J12" i="33"/>
  <c r="W12" i="33" s="1"/>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U12" i="34" s="1"/>
  <c r="Q11" i="34"/>
  <c r="Z11" i="34" s="1"/>
  <c r="Q10" i="34"/>
  <c r="Z10" i="34"/>
  <c r="F10" i="34"/>
  <c r="AA10" i="34" s="1"/>
  <c r="Q9" i="34"/>
  <c r="Z9" i="34"/>
  <c r="J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S42" i="21" s="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H46" i="21" s="1"/>
  <c r="U46" i="21" s="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c r="F36" i="21"/>
  <c r="S36" i="21" s="1"/>
  <c r="F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4" i="39"/>
  <c r="W44" i="39" s="1"/>
  <c r="AC44" i="39"/>
  <c r="F36" i="39"/>
  <c r="S36" i="39" s="1"/>
  <c r="H36" i="39"/>
  <c r="AB36" i="39"/>
  <c r="J35" i="39"/>
  <c r="AC35" i="39" s="1"/>
  <c r="F35" i="39"/>
  <c r="AA35" i="39"/>
  <c r="J36" i="39"/>
  <c r="AC36" i="39" s="1"/>
  <c r="U9" i="39"/>
  <c r="W25" i="37"/>
  <c r="W31" i="37"/>
  <c r="F39" i="37"/>
  <c r="S39" i="37" s="1"/>
  <c r="F29" i="36"/>
  <c r="AA29" i="36" s="1"/>
  <c r="F16" i="36"/>
  <c r="AA16" i="36" s="1"/>
  <c r="W28" i="36"/>
  <c r="U31" i="36"/>
  <c r="J33" i="36"/>
  <c r="AC33" i="36" s="1"/>
  <c r="H22" i="35"/>
  <c r="AB22" i="35"/>
  <c r="W28" i="35"/>
  <c r="S31" i="35"/>
  <c r="F36" i="34"/>
  <c r="J35" i="34"/>
  <c r="U34" i="34"/>
  <c r="H39" i="33"/>
  <c r="AB39" i="33"/>
  <c r="F26" i="33"/>
  <c r="AA26" i="33"/>
  <c r="U35" i="33"/>
  <c r="S40" i="33"/>
  <c r="W33" i="33"/>
  <c r="W39" i="33"/>
  <c r="H39" i="37"/>
  <c r="AB39" i="37"/>
  <c r="S27" i="35"/>
  <c r="F11" i="40"/>
  <c r="AA11" i="40"/>
  <c r="H11" i="40"/>
  <c r="AB11" i="40"/>
  <c r="W8" i="40"/>
  <c r="AB39" i="40"/>
  <c r="AA9" i="40"/>
  <c r="U9" i="40"/>
  <c r="S34" i="40"/>
  <c r="U38" i="40"/>
  <c r="W31" i="40"/>
  <c r="U34"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J17" i="39"/>
  <c r="J27" i="39"/>
  <c r="AC27" i="39"/>
  <c r="F27" i="39"/>
  <c r="S27" i="39" s="1"/>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W32" i="40"/>
  <c r="S44" i="39"/>
  <c r="F37" i="39"/>
  <c r="AA37" i="39" s="1"/>
  <c r="J34" i="36"/>
  <c r="W34" i="36" s="1"/>
  <c r="U30" i="36"/>
  <c r="J30" i="35"/>
  <c r="W30" i="35" s="1"/>
  <c r="H30" i="35"/>
  <c r="AB30" i="35" s="1"/>
  <c r="F22" i="35"/>
  <c r="AA22" i="35"/>
  <c r="H10" i="35"/>
  <c r="U10" i="35" s="1"/>
  <c r="F33" i="36"/>
  <c r="AA33" i="36"/>
  <c r="W30" i="36"/>
  <c r="H16" i="36"/>
  <c r="AB16" i="36" s="1"/>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F37" i="34"/>
  <c r="F25" i="34"/>
  <c r="H23" i="34"/>
  <c r="J23" i="34"/>
  <c r="F19" i="34"/>
  <c r="AA19" i="34" s="1"/>
  <c r="H17" i="34"/>
  <c r="F15" i="34"/>
  <c r="AA15" i="34" s="1"/>
  <c r="J15" i="34"/>
  <c r="W15" i="34" s="1"/>
  <c r="H15" i="34"/>
  <c r="AB15" i="34" s="1"/>
  <c r="W8" i="34"/>
  <c r="F41" i="33"/>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F23" i="34"/>
  <c r="AA23" i="34" s="1"/>
  <c r="J19" i="34"/>
  <c r="AC19" i="34" s="1"/>
  <c r="F17" i="34"/>
  <c r="AA17" i="34"/>
  <c r="J17" i="34"/>
  <c r="W17" i="34" s="1"/>
  <c r="F113" i="33"/>
  <c r="G113" i="33"/>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c r="F14" i="21"/>
  <c r="S14" i="21" s="1"/>
  <c r="H14" i="21"/>
  <c r="U14" i="21"/>
  <c r="H28" i="21"/>
  <c r="AB28" i="21" s="1"/>
  <c r="F28" i="21"/>
  <c r="AA28" i="21"/>
  <c r="J28" i="21"/>
  <c r="H30" i="21"/>
  <c r="F30" i="21"/>
  <c r="S30" i="21" s="1"/>
  <c r="J30" i="21"/>
  <c r="AC30" i="21"/>
  <c r="J44" i="21"/>
  <c r="AC44" i="21" s="1"/>
  <c r="H44" i="21"/>
  <c r="U44" i="21"/>
  <c r="F44" i="21"/>
  <c r="J46" i="21"/>
  <c r="F46" i="21"/>
  <c r="AA46" i="21" s="1"/>
  <c r="E119" i="21"/>
  <c r="F119" i="21" s="1"/>
  <c r="G119" i="21" s="1"/>
  <c r="H119" i="21" s="1"/>
  <c r="I119" i="21" s="1"/>
  <c r="J119" i="21" s="1"/>
  <c r="K119" i="21" s="1"/>
  <c r="L119" i="21" s="1"/>
  <c r="M119" i="21" s="1"/>
  <c r="H26" i="33"/>
  <c r="AB26" i="33" s="1"/>
  <c r="U26" i="33"/>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J13" i="33"/>
  <c r="AC13" i="33" s="1"/>
  <c r="H13" i="33"/>
  <c r="U13" i="33" s="1"/>
  <c r="F13" i="33"/>
  <c r="S13" i="33"/>
  <c r="J29" i="33"/>
  <c r="F29" i="33"/>
  <c r="S29" i="33" s="1"/>
  <c r="J31" i="33"/>
  <c r="H31" i="33"/>
  <c r="F31" i="33"/>
  <c r="H45" i="33"/>
  <c r="F45" i="33"/>
  <c r="AA45" i="33"/>
  <c r="H14" i="34"/>
  <c r="U14" i="34" s="1"/>
  <c r="H30" i="34"/>
  <c r="F30" i="34"/>
  <c r="S30" i="34"/>
  <c r="J30" i="34"/>
  <c r="J32" i="34"/>
  <c r="W32" i="34" s="1"/>
  <c r="H46" i="34"/>
  <c r="F46" i="34"/>
  <c r="J46" i="34"/>
  <c r="H11" i="35"/>
  <c r="AB11" i="35" s="1"/>
  <c r="J11" i="35"/>
  <c r="W11" i="35" s="1"/>
  <c r="AC11" i="35"/>
  <c r="F11" i="35"/>
  <c r="J26" i="36"/>
  <c r="W26" i="36" s="1"/>
  <c r="H28" i="36"/>
  <c r="U28" i="36" s="1"/>
  <c r="H32" i="36"/>
  <c r="AB32" i="36" s="1"/>
  <c r="J32" i="36"/>
  <c r="W32" i="36" s="1"/>
  <c r="H11" i="36"/>
  <c r="U11" i="36" s="1"/>
  <c r="F11" i="36"/>
  <c r="H13" i="36"/>
  <c r="AB13" i="36" s="1"/>
  <c r="F13" i="36"/>
  <c r="S13" i="36"/>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AC12" i="40"/>
  <c r="W12" i="40"/>
  <c r="H14" i="33"/>
  <c r="U14" i="33" s="1"/>
  <c r="F14" i="33"/>
  <c r="S14" i="33"/>
  <c r="J14" i="33"/>
  <c r="H30" i="33"/>
  <c r="J30" i="33"/>
  <c r="W30" i="33" s="1"/>
  <c r="H44" i="33"/>
  <c r="J44" i="33"/>
  <c r="AC44" i="33"/>
  <c r="F44" i="33"/>
  <c r="S44" i="33" s="1"/>
  <c r="J46" i="33"/>
  <c r="H46" i="33"/>
  <c r="AB46" i="33"/>
  <c r="H13" i="34"/>
  <c r="U13" i="34" s="1"/>
  <c r="J13" i="34"/>
  <c r="W13" i="34"/>
  <c r="F13" i="34"/>
  <c r="AA13" i="34" s="1"/>
  <c r="H29" i="34"/>
  <c r="AB29" i="34" s="1"/>
  <c r="J31" i="34"/>
  <c r="AC31" i="34"/>
  <c r="H31" i="34"/>
  <c r="F31" i="34"/>
  <c r="S31" i="34" s="1"/>
  <c r="J45" i="34"/>
  <c r="W45" i="34"/>
  <c r="H47" i="34"/>
  <c r="U47" i="34"/>
  <c r="F47" i="34"/>
  <c r="S47" i="34" s="1"/>
  <c r="J47" i="34"/>
  <c r="AC47" i="34"/>
  <c r="F13" i="35"/>
  <c r="J13" i="35"/>
  <c r="J25" i="35"/>
  <c r="W25" i="35"/>
  <c r="F25" i="35"/>
  <c r="S25" i="35" s="1"/>
  <c r="H25" i="35"/>
  <c r="AB25" i="35"/>
  <c r="J35" i="35"/>
  <c r="H35" i="35"/>
  <c r="J25" i="36"/>
  <c r="H25" i="36"/>
  <c r="U25" i="36" s="1"/>
  <c r="AB25" i="36"/>
  <c r="J13" i="37"/>
  <c r="W13" i="37" s="1"/>
  <c r="J28" i="37"/>
  <c r="AC28" i="37"/>
  <c r="H28" i="37"/>
  <c r="H38" i="37"/>
  <c r="AB38" i="37"/>
  <c r="J38" i="37"/>
  <c r="AC38" i="37" s="1"/>
  <c r="F38" i="37"/>
  <c r="F43" i="39"/>
  <c r="AA43" i="39" s="1"/>
  <c r="H43" i="39"/>
  <c r="AB43" i="39" s="1"/>
  <c r="J14" i="39"/>
  <c r="AC14" i="39" s="1"/>
  <c r="F12" i="40"/>
  <c r="H12" i="40"/>
  <c r="AB12" i="40"/>
  <c r="H30" i="40"/>
  <c r="AB30" i="40" s="1"/>
  <c r="F33" i="40"/>
  <c r="AA33" i="40"/>
  <c r="H33" i="40"/>
  <c r="J35" i="40"/>
  <c r="AC35" i="40"/>
  <c r="J37" i="40"/>
  <c r="AC37" i="40" s="1"/>
  <c r="U13" i="40"/>
  <c r="J13" i="40"/>
  <c r="W13" i="40" s="1"/>
  <c r="F14" i="37"/>
  <c r="S14" i="37" s="1"/>
  <c r="F13" i="39"/>
  <c r="S13" i="39" s="1"/>
  <c r="J13" i="39"/>
  <c r="W13" i="39" s="1"/>
  <c r="H13" i="39"/>
  <c r="H14" i="40"/>
  <c r="U14" i="40" s="1"/>
  <c r="J14" i="40"/>
  <c r="W14" i="40" s="1"/>
  <c r="F14" i="40"/>
  <c r="AA14" i="40"/>
  <c r="J14" i="37"/>
  <c r="U46" i="33"/>
  <c r="AA14" i="33"/>
  <c r="J36" i="37"/>
  <c r="AC36" i="37"/>
  <c r="J10" i="36"/>
  <c r="AC10" i="36" s="1"/>
  <c r="AA14" i="37"/>
  <c r="W31" i="34"/>
  <c r="S45" i="33"/>
  <c r="S44" i="34"/>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0" i="3"/>
  <c r="G554" i="3"/>
  <c r="G550" i="3"/>
  <c r="BL584" i="3"/>
  <c r="BL580" i="3"/>
  <c r="BL576" i="3"/>
  <c r="BL564" i="3"/>
  <c r="BL560" i="3"/>
  <c r="BL546" i="3"/>
  <c r="BL542" i="3"/>
  <c r="BL538" i="3"/>
  <c r="BL534" i="3"/>
  <c r="BL530" i="3"/>
  <c r="BL526" i="3"/>
  <c r="BL522" i="3"/>
  <c r="BL516" i="3"/>
  <c r="BL512" i="3"/>
  <c r="BL506" i="3"/>
  <c r="BL502" i="3"/>
  <c r="BL498" i="3"/>
  <c r="BL494" i="3"/>
  <c r="BL582" i="3"/>
  <c r="BL578" i="3"/>
  <c r="BL566" i="3"/>
  <c r="BL562" i="3"/>
  <c r="BL544" i="3"/>
  <c r="AZ544" i="3" s="1"/>
  <c r="BL540" i="3"/>
  <c r="AZ540" i="3" s="1"/>
  <c r="BL536" i="3"/>
  <c r="G533" i="3"/>
  <c r="BL532" i="3"/>
  <c r="AZ532" i="3" s="1"/>
  <c r="G529" i="3"/>
  <c r="BL528" i="3"/>
  <c r="G525" i="3"/>
  <c r="BL524" i="3"/>
  <c r="BL518" i="3"/>
  <c r="BL514" i="3"/>
  <c r="BL510" i="3"/>
  <c r="BL504" i="3"/>
  <c r="AZ504" i="3" s="1"/>
  <c r="BL500" i="3"/>
  <c r="BL496" i="3"/>
  <c r="G493" i="3"/>
  <c r="BA584" i="3"/>
  <c r="AZ584" i="3" s="1"/>
  <c r="BA582" i="3"/>
  <c r="BA576" i="3"/>
  <c r="BA574" i="3"/>
  <c r="AZ574" i="3" s="1"/>
  <c r="BA568" i="3"/>
  <c r="AZ568" i="3" s="1"/>
  <c r="BA566" i="3"/>
  <c r="AZ566" i="3" s="1"/>
  <c r="BA560" i="3"/>
  <c r="AZ560" i="3" s="1"/>
  <c r="BA558" i="3"/>
  <c r="AZ558" i="3" s="1"/>
  <c r="AZ556" i="3"/>
  <c r="BA554" i="3"/>
  <c r="AZ554" i="3" s="1"/>
  <c r="BA548" i="3"/>
  <c r="BA546" i="3"/>
  <c r="BA544" i="3"/>
  <c r="BA542" i="3"/>
  <c r="BA540" i="3"/>
  <c r="BA538" i="3"/>
  <c r="AZ538" i="3" s="1"/>
  <c r="BA536" i="3"/>
  <c r="AZ536" i="3"/>
  <c r="BA534" i="3"/>
  <c r="AZ534" i="3" s="1"/>
  <c r="BA532" i="3"/>
  <c r="BA530" i="3"/>
  <c r="AZ530" i="3" s="1"/>
  <c r="BA528" i="3"/>
  <c r="AZ528" i="3" s="1"/>
  <c r="BA526" i="3"/>
  <c r="BA524" i="3"/>
  <c r="BA522" i="3"/>
  <c r="AZ522" i="3" s="1"/>
  <c r="BA520" i="3"/>
  <c r="BA518" i="3"/>
  <c r="BA516" i="3"/>
  <c r="AZ516" i="3" s="1"/>
  <c r="BA514" i="3"/>
  <c r="BA512" i="3"/>
  <c r="AZ512" i="3" s="1"/>
  <c r="BA510" i="3"/>
  <c r="AZ510" i="3"/>
  <c r="BA508" i="3"/>
  <c r="BA506" i="3"/>
  <c r="BA504" i="3"/>
  <c r="BA502" i="3"/>
  <c r="BA500" i="3"/>
  <c r="BA498" i="3"/>
  <c r="AZ498" i="3"/>
  <c r="BA496" i="3"/>
  <c r="AZ496" i="3" s="1"/>
  <c r="BA494" i="3"/>
  <c r="BA583" i="3"/>
  <c r="BA577" i="3"/>
  <c r="BA575" i="3"/>
  <c r="AZ575" i="3" s="1"/>
  <c r="BA569" i="3"/>
  <c r="BA567" i="3"/>
  <c r="BA561" i="3"/>
  <c r="BA559"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5" i="3"/>
  <c r="G573" i="3"/>
  <c r="G569" i="3"/>
  <c r="G567" i="3"/>
  <c r="G565" i="3"/>
  <c r="G561" i="3"/>
  <c r="BL558" i="3"/>
  <c r="BA557" i="3"/>
  <c r="AC557" i="3"/>
  <c r="BQ557" i="3"/>
  <c r="BQ583" i="3"/>
  <c r="BL583" i="3" s="1"/>
  <c r="BQ581" i="3"/>
  <c r="BQ579" i="3"/>
  <c r="BL579" i="3"/>
  <c r="BQ577" i="3"/>
  <c r="BL577" i="3" s="1"/>
  <c r="BQ575" i="3"/>
  <c r="BQ573" i="3"/>
  <c r="BL573" i="3" s="1"/>
  <c r="AZ573" i="3" s="1"/>
  <c r="BQ571" i="3"/>
  <c r="BQ569" i="3"/>
  <c r="BQ567" i="3"/>
  <c r="BL567" i="3"/>
  <c r="BQ565" i="3"/>
  <c r="BQ563" i="3"/>
  <c r="BL563" i="3" s="1"/>
  <c r="BQ561" i="3"/>
  <c r="BQ559" i="3"/>
  <c r="BL559" i="3" s="1"/>
  <c r="AZ559" i="3" s="1"/>
  <c r="G555" i="3"/>
  <c r="G553" i="3"/>
  <c r="G549" i="3"/>
  <c r="G547" i="3"/>
  <c r="G545" i="3"/>
  <c r="G543" i="3"/>
  <c r="G541" i="3"/>
  <c r="G539" i="3"/>
  <c r="G537" i="3"/>
  <c r="BQ555" i="3"/>
  <c r="BL555" i="3"/>
  <c r="BQ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J43" i="33"/>
  <c r="AC43" i="33"/>
  <c r="S28" i="31"/>
  <c r="S27" i="31"/>
  <c r="S26" i="31"/>
  <c r="U39" i="37"/>
  <c r="U26" i="37"/>
  <c r="W47" i="34"/>
  <c r="AC36" i="34"/>
  <c r="AA13" i="33"/>
  <c r="W44" i="33"/>
  <c r="U11" i="33"/>
  <c r="U19" i="21"/>
  <c r="W44" i="21"/>
  <c r="AB38" i="21"/>
  <c r="F43" i="33"/>
  <c r="AA43" i="33" s="1"/>
  <c r="AC15" i="34"/>
  <c r="W16" i="35"/>
  <c r="H107" i="37"/>
  <c r="I107" i="37" s="1"/>
  <c r="J107" i="37" s="1"/>
  <c r="K107" i="37" s="1"/>
  <c r="L107" i="37" s="1"/>
  <c r="M107" i="37" s="1"/>
  <c r="H37" i="21"/>
  <c r="U37" i="21" s="1"/>
  <c r="H19" i="34"/>
  <c r="AB19" i="34" s="1"/>
  <c r="F36" i="35"/>
  <c r="J9" i="37"/>
  <c r="W9" i="37" s="1"/>
  <c r="H9" i="37"/>
  <c r="U9" i="37" s="1"/>
  <c r="F9" i="37"/>
  <c r="S9" i="37" s="1"/>
  <c r="J12" i="37"/>
  <c r="H12" i="37"/>
  <c r="AB12" i="37" s="1"/>
  <c r="F12" i="37"/>
  <c r="S12" i="37" s="1"/>
  <c r="F15" i="37"/>
  <c r="S15" i="37" s="1"/>
  <c r="E94" i="37"/>
  <c r="F31" i="37"/>
  <c r="S31" i="37" s="1"/>
  <c r="F12" i="39"/>
  <c r="J42" i="39"/>
  <c r="AC42" i="39" s="1"/>
  <c r="H21" i="40"/>
  <c r="AB21" i="40" s="1"/>
  <c r="F94" i="37"/>
  <c r="G94" i="37"/>
  <c r="H94" i="37" s="1"/>
  <c r="I94" i="37" s="1"/>
  <c r="J94" i="37" s="1"/>
  <c r="K94" i="37" s="1"/>
  <c r="L94" i="37" s="1"/>
  <c r="M94" i="37" s="1"/>
  <c r="H31" i="37"/>
  <c r="U31" i="37"/>
  <c r="J15" i="37"/>
  <c r="AC15" i="37" s="1"/>
  <c r="W15" i="37"/>
  <c r="AT6" i="3"/>
  <c r="AA25" i="21"/>
  <c r="H19" i="40"/>
  <c r="U19" i="40" s="1"/>
  <c r="F88" i="40"/>
  <c r="G88" i="40" s="1"/>
  <c r="F19" i="40"/>
  <c r="S19" i="40" s="1"/>
  <c r="S14" i="40"/>
  <c r="AC13" i="40"/>
  <c r="AC43" i="39"/>
  <c r="W43" i="39"/>
  <c r="AB44" i="39"/>
  <c r="U44" i="39"/>
  <c r="H37" i="39"/>
  <c r="AB37" i="39"/>
  <c r="AC37" i="39"/>
  <c r="W37" i="39"/>
  <c r="H25" i="39"/>
  <c r="AB25" i="39"/>
  <c r="J25" i="39"/>
  <c r="AC25" i="39" s="1"/>
  <c r="F25" i="39"/>
  <c r="AA25" i="39" s="1"/>
  <c r="F15" i="39"/>
  <c r="AA15" i="39" s="1"/>
  <c r="H15" i="39"/>
  <c r="U15" i="39" s="1"/>
  <c r="J15" i="39"/>
  <c r="W15" i="39" s="1"/>
  <c r="H41" i="39"/>
  <c r="AB41" i="39" s="1"/>
  <c r="W27" i="39"/>
  <c r="AB34" i="39"/>
  <c r="U40" i="39"/>
  <c r="S42"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AZ124" i="3" s="1"/>
  <c r="G125" i="3"/>
  <c r="BA127" i="3"/>
  <c r="AZ127" i="3"/>
  <c r="BL128" i="3"/>
  <c r="G129" i="3"/>
  <c r="BA131" i="3"/>
  <c r="BL132" i="3"/>
  <c r="G133" i="3"/>
  <c r="BA135" i="3"/>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97"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54" i="3"/>
  <c r="AZ162" i="3"/>
  <c r="AZ194" i="3"/>
  <c r="AZ198" i="3"/>
  <c r="AZ500" i="3"/>
  <c r="BA16" i="3"/>
  <c r="BL303" i="3"/>
  <c r="G304" i="3"/>
  <c r="BA306" i="3"/>
  <c r="BL307" i="3"/>
  <c r="G308" i="3"/>
  <c r="BA310" i="3"/>
  <c r="AZ310" i="3"/>
  <c r="BL311" i="3"/>
  <c r="AZ311" i="3" s="1"/>
  <c r="G312" i="3"/>
  <c r="BA314" i="3"/>
  <c r="BL315" i="3"/>
  <c r="G316" i="3"/>
  <c r="BA318" i="3"/>
  <c r="BL319" i="3"/>
  <c r="G320" i="3"/>
  <c r="BA322" i="3"/>
  <c r="AZ322" i="3" s="1"/>
  <c r="BL323" i="3"/>
  <c r="G324" i="3"/>
  <c r="BA326" i="3"/>
  <c r="AZ326" i="3"/>
  <c r="BL327" i="3"/>
  <c r="G328" i="3"/>
  <c r="BA330" i="3"/>
  <c r="BL331" i="3"/>
  <c r="AZ331" i="3" s="1"/>
  <c r="G332" i="3"/>
  <c r="BA334" i="3"/>
  <c r="BL335" i="3"/>
  <c r="AZ335" i="3" s="1"/>
  <c r="G336" i="3"/>
  <c r="BA338" i="3"/>
  <c r="BL339" i="3"/>
  <c r="AZ339" i="3"/>
  <c r="G340" i="3"/>
  <c r="BL343" i="3"/>
  <c r="G344" i="3"/>
  <c r="G348" i="3"/>
  <c r="G355"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AZ391" i="3" s="1"/>
  <c r="BL392" i="3"/>
  <c r="G393" i="3"/>
  <c r="BO5" i="3"/>
  <c r="BM5" i="3"/>
  <c r="BF5" i="3"/>
  <c r="BD5" i="3"/>
  <c r="AC5" i="3"/>
  <c r="AZ506" i="3"/>
  <c r="G548" i="3"/>
  <c r="G538" i="3"/>
  <c r="G520" i="3"/>
  <c r="G502" i="3"/>
  <c r="BP5" i="3"/>
  <c r="BN5" i="3"/>
  <c r="BI5" i="3"/>
  <c r="BG5" i="3"/>
  <c r="BE5" i="3"/>
  <c r="G17" i="3"/>
  <c r="BA17" i="3"/>
  <c r="BT5" i="3"/>
  <c r="AZ350" i="3"/>
  <c r="BA15" i="3"/>
  <c r="BR5" i="3"/>
  <c r="AZ380" i="3"/>
  <c r="AZ392" i="3"/>
  <c r="G509" i="3"/>
  <c r="BL493" i="3"/>
  <c r="AZ493" i="3" s="1"/>
  <c r="U36" i="40"/>
  <c r="F83" i="43"/>
  <c r="H85" i="43" s="1"/>
  <c r="F50" i="43"/>
  <c r="H54" i="43" s="1"/>
  <c r="F72" i="43"/>
  <c r="H75" i="43" s="1"/>
  <c r="U17" i="39"/>
  <c r="S14" i="35"/>
  <c r="U35" i="21"/>
  <c r="AC35" i="21"/>
  <c r="AC11" i="39"/>
  <c r="W37"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AC14" i="35"/>
  <c r="H20" i="35"/>
  <c r="U20" i="35"/>
  <c r="F20" i="35"/>
  <c r="AB29" i="36"/>
  <c r="U29" i="36"/>
  <c r="H32" i="37"/>
  <c r="AB32" i="37" s="1"/>
  <c r="F96" i="37"/>
  <c r="H27" i="40"/>
  <c r="AB27" i="40" s="1"/>
  <c r="J27" i="40"/>
  <c r="AC27" i="40"/>
  <c r="F27" i="40"/>
  <c r="AA27" i="40" s="1"/>
  <c r="J30" i="40"/>
  <c r="AC30" i="40"/>
  <c r="F30" i="40"/>
  <c r="AA30" i="40" s="1"/>
  <c r="S31" i="39"/>
  <c r="S11" i="40"/>
  <c r="E98" i="40"/>
  <c r="F98" i="40" s="1"/>
  <c r="G98" i="40" s="1"/>
  <c r="H98" i="40" s="1"/>
  <c r="I98" i="40" s="1"/>
  <c r="J98" i="40" s="1"/>
  <c r="K98" i="40" s="1"/>
  <c r="L98" i="40" s="1"/>
  <c r="M98" i="40" s="1"/>
  <c r="F10" i="33"/>
  <c r="S10" i="33" s="1"/>
  <c r="F34" i="33"/>
  <c r="S34" i="33" s="1"/>
  <c r="H34" i="33"/>
  <c r="F35" i="33"/>
  <c r="F39" i="34"/>
  <c r="AA39" i="34" s="1"/>
  <c r="J39" i="34"/>
  <c r="W39" i="34" s="1"/>
  <c r="F40" i="34"/>
  <c r="S40" i="34" s="1"/>
  <c r="F43" i="34"/>
  <c r="AA43" i="34" s="1"/>
  <c r="H44" i="34"/>
  <c r="U44" i="34" s="1"/>
  <c r="AC38" i="39"/>
  <c r="F39" i="39"/>
  <c r="S39" i="39" s="1"/>
  <c r="J39" i="39"/>
  <c r="AC39" i="39" s="1"/>
  <c r="E96" i="39"/>
  <c r="F96" i="39" s="1"/>
  <c r="G96" i="39" s="1"/>
  <c r="C40" i="11"/>
  <c r="AZ235" i="3"/>
  <c r="AZ256" i="3"/>
  <c r="AZ259" i="3"/>
  <c r="AZ13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465" i="3"/>
  <c r="AZ586" i="3"/>
  <c r="AC12" i="33"/>
  <c r="AA32" i="36"/>
  <c r="S32" i="36"/>
  <c r="BL14" i="3"/>
  <c r="AC13" i="34"/>
  <c r="AA47" i="34"/>
  <c r="W28" i="37"/>
  <c r="S19" i="39"/>
  <c r="F12" i="33"/>
  <c r="H12" i="39"/>
  <c r="U12" i="39" s="1"/>
  <c r="AB12" i="39"/>
  <c r="F39" i="40"/>
  <c r="BA14" i="3"/>
  <c r="AZ149" i="3"/>
  <c r="AZ173" i="3"/>
  <c r="AZ181" i="3"/>
  <c r="B12" i="1"/>
  <c r="E12" i="1" s="1"/>
  <c r="B10" i="1"/>
  <c r="E10" i="1" s="1"/>
  <c r="K12" i="1"/>
  <c r="M12" i="1" s="1"/>
  <c r="S13" i="1"/>
  <c r="AR13" i="1" s="1"/>
  <c r="R13" i="1"/>
  <c r="J51" i="67"/>
  <c r="C42" i="1"/>
  <c r="C24" i="12" s="1"/>
  <c r="AC34" i="33"/>
  <c r="B41" i="1"/>
  <c r="F48" i="9" s="1"/>
  <c r="O52" i="9" s="1"/>
  <c r="AB37" i="40"/>
  <c r="S35" i="40"/>
  <c r="U35" i="40"/>
  <c r="AC36" i="40"/>
  <c r="W38" i="40"/>
  <c r="S17" i="40"/>
  <c r="S23" i="40"/>
  <c r="AC17" i="40"/>
  <c r="AC15"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U19" i="39"/>
  <c r="S17" i="39"/>
  <c r="S15" i="39"/>
  <c r="S9" i="39"/>
  <c r="AC13" i="39"/>
  <c r="S23" i="36"/>
  <c r="U13" i="36"/>
  <c r="U26" i="36"/>
  <c r="S33"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C9" i="35"/>
  <c r="W9" i="35"/>
  <c r="F9" i="35"/>
  <c r="S9" i="35" s="1"/>
  <c r="H9" i="35"/>
  <c r="U9" i="35" s="1"/>
  <c r="AB40" i="37"/>
  <c r="S25" i="37"/>
  <c r="AC29" i="37"/>
  <c r="U29" i="37"/>
  <c r="AB31" i="37"/>
  <c r="W30" i="37"/>
  <c r="S36" i="37"/>
  <c r="U32" i="37"/>
  <c r="W38" i="37"/>
  <c r="AC35" i="37"/>
  <c r="W39" i="37"/>
  <c r="S30" i="37"/>
  <c r="S37" i="37"/>
  <c r="J17" i="37"/>
  <c r="W17" i="37"/>
  <c r="G73" i="37"/>
  <c r="F17" i="37"/>
  <c r="AA17" i="37" s="1"/>
  <c r="AB17" i="37"/>
  <c r="F75" i="37"/>
  <c r="G75" i="37" s="1"/>
  <c r="F19" i="37"/>
  <c r="S19" i="37" s="1"/>
  <c r="F79" i="37"/>
  <c r="F23" i="37"/>
  <c r="S23" i="37" s="1"/>
  <c r="U23" i="37"/>
  <c r="U15" i="37"/>
  <c r="AC13" i="37"/>
  <c r="H10" i="37"/>
  <c r="AB10" i="37" s="1"/>
  <c r="F63" i="37"/>
  <c r="G63" i="37" s="1"/>
  <c r="H63" i="37" s="1"/>
  <c r="I63" i="37" s="1"/>
  <c r="J63" i="37" s="1"/>
  <c r="K63" i="37" s="1"/>
  <c r="L63" i="37" s="1"/>
  <c r="M63" i="37" s="1"/>
  <c r="F11" i="37"/>
  <c r="S11" i="37" s="1"/>
  <c r="AB8" i="34"/>
  <c r="AA33" i="34"/>
  <c r="U43" i="34"/>
  <c r="W41" i="34"/>
  <c r="AC42" i="34"/>
  <c r="AB35" i="34"/>
  <c r="U39" i="34"/>
  <c r="AB41" i="34"/>
  <c r="AA45" i="34"/>
  <c r="U28" i="34"/>
  <c r="S17" i="34"/>
  <c r="S23" i="34"/>
  <c r="U15" i="34"/>
  <c r="S13" i="34"/>
  <c r="H10" i="34"/>
  <c r="AB10" i="34" s="1"/>
  <c r="F11" i="34"/>
  <c r="S11" i="34" s="1"/>
  <c r="F70" i="34"/>
  <c r="G70" i="34" s="1"/>
  <c r="H70" i="34" s="1"/>
  <c r="I70" i="34" s="1"/>
  <c r="J70" i="34" s="1"/>
  <c r="K70" i="34" s="1"/>
  <c r="L70" i="34" s="1"/>
  <c r="M70" i="34" s="1"/>
  <c r="W42" i="33"/>
  <c r="S32" i="33"/>
  <c r="AA29" i="33"/>
  <c r="W38" i="33"/>
  <c r="H41" i="33"/>
  <c r="F121" i="33"/>
  <c r="G121" i="33" s="1"/>
  <c r="H121" i="33" s="1"/>
  <c r="I121" i="33" s="1"/>
  <c r="J121" i="33" s="1"/>
  <c r="K121" i="33" s="1"/>
  <c r="L121" i="33" s="1"/>
  <c r="M121" i="33" s="1"/>
  <c r="S42" i="33"/>
  <c r="F36" i="33"/>
  <c r="AA36" i="33" s="1"/>
  <c r="G111" i="33"/>
  <c r="J35" i="33"/>
  <c r="W35" i="33" s="1"/>
  <c r="S37" i="33"/>
  <c r="AA37" i="33"/>
  <c r="S39" i="33"/>
  <c r="F101" i="33"/>
  <c r="G101" i="33"/>
  <c r="H101" i="33" s="1"/>
  <c r="I101" i="33" s="1"/>
  <c r="J101" i="33" s="1"/>
  <c r="K101" i="33" s="1"/>
  <c r="L101" i="33" s="1"/>
  <c r="M101" i="33" s="1"/>
  <c r="J32" i="33"/>
  <c r="W43" i="33"/>
  <c r="S43" i="33"/>
  <c r="F91" i="33"/>
  <c r="F87" i="33"/>
  <c r="H25" i="33"/>
  <c r="F25" i="33"/>
  <c r="J23" i="33"/>
  <c r="AC23" i="33" s="1"/>
  <c r="F85" i="33"/>
  <c r="H23" i="33"/>
  <c r="F81" i="33"/>
  <c r="F19" i="33"/>
  <c r="S19" i="33" s="1"/>
  <c r="W19" i="33"/>
  <c r="J17" i="33"/>
  <c r="F79" i="33"/>
  <c r="G79" i="33" s="1"/>
  <c r="W15" i="33"/>
  <c r="J10" i="33"/>
  <c r="W10" i="33" s="1"/>
  <c r="H10" i="33"/>
  <c r="U10" i="33" s="1"/>
  <c r="AC11" i="33"/>
  <c r="AB14" i="33"/>
  <c r="W43" i="21"/>
  <c r="W36" i="21"/>
  <c r="W41" i="21"/>
  <c r="AB39" i="21"/>
  <c r="AA43" i="21"/>
  <c r="AA38" i="21"/>
  <c r="AA36" i="21"/>
  <c r="AC40" i="21"/>
  <c r="J15" i="21"/>
  <c r="W15" i="21"/>
  <c r="F77" i="21"/>
  <c r="G77" i="21" s="1"/>
  <c r="F23" i="21"/>
  <c r="S23" i="21"/>
  <c r="E85" i="21"/>
  <c r="AA14" i="21"/>
  <c r="C18" i="9"/>
  <c r="D18" i="9" s="1"/>
  <c r="F34" i="67"/>
  <c r="F62" i="67" s="1"/>
  <c r="M20" i="67"/>
  <c r="F34" i="15"/>
  <c r="F62" i="15" s="1"/>
  <c r="G13" i="3"/>
  <c r="BA13" i="3"/>
  <c r="BL17" i="3"/>
  <c r="BL13" i="3"/>
  <c r="J56" i="9"/>
  <c r="J57" i="9" s="1"/>
  <c r="J59" i="9" s="1"/>
  <c r="J61" i="9" s="1"/>
  <c r="U29" i="34"/>
  <c r="E32" i="6"/>
  <c r="G1" i="68"/>
  <c r="K1" i="12"/>
  <c r="E19" i="69"/>
  <c r="E19" i="68"/>
  <c r="E19" i="11"/>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U13" i="39"/>
  <c r="AB13" i="39"/>
  <c r="AA13" i="39"/>
  <c r="S14" i="39"/>
  <c r="AA14" i="39"/>
  <c r="U43" i="39"/>
  <c r="AB11" i="39"/>
  <c r="U11" i="39"/>
  <c r="AA27" i="39"/>
  <c r="W17" i="39"/>
  <c r="AC17" i="39"/>
  <c r="W31" i="39"/>
  <c r="AC31" i="39"/>
  <c r="S23" i="39"/>
  <c r="AA45" i="39"/>
  <c r="AB39" i="39"/>
  <c r="U38" i="39"/>
  <c r="S8" i="39"/>
  <c r="S20" i="36"/>
  <c r="U32" i="36"/>
  <c r="W29" i="36"/>
  <c r="AC20" i="36"/>
  <c r="AB28" i="36"/>
  <c r="AA13" i="36"/>
  <c r="W9" i="36"/>
  <c r="W22" i="36"/>
  <c r="AB20" i="35"/>
  <c r="AC25" i="35"/>
  <c r="U25" i="35"/>
  <c r="S24" i="35"/>
  <c r="U24" i="35"/>
  <c r="S35" i="35"/>
  <c r="AA16" i="35"/>
  <c r="AA35" i="37"/>
  <c r="W36" i="37"/>
  <c r="S28" i="37"/>
  <c r="W32" i="37"/>
  <c r="U36" i="37"/>
  <c r="U38" i="37"/>
  <c r="AB37" i="37"/>
  <c r="AC34" i="37"/>
  <c r="AA31" i="37"/>
  <c r="U19" i="37"/>
  <c r="AA29" i="37"/>
  <c r="U8" i="37"/>
  <c r="AA40" i="34"/>
  <c r="AB40" i="34"/>
  <c r="U19" i="34"/>
  <c r="W19" i="34"/>
  <c r="AB33" i="34"/>
  <c r="AC45" i="34"/>
  <c r="AA31" i="34"/>
  <c r="AA30" i="34"/>
  <c r="AB47" i="34"/>
  <c r="U25" i="34"/>
  <c r="W33" i="34"/>
  <c r="AC32" i="34"/>
  <c r="W29" i="34"/>
  <c r="W46" i="34"/>
  <c r="AC46" i="34"/>
  <c r="U30" i="34"/>
  <c r="AB30" i="34"/>
  <c r="U38" i="34"/>
  <c r="AC40" i="34"/>
  <c r="W40" i="34"/>
  <c r="S19" i="34"/>
  <c r="AA36" i="34"/>
  <c r="S36" i="34"/>
  <c r="S8" i="34"/>
  <c r="S46" i="34"/>
  <c r="AA46" i="34"/>
  <c r="AB14" i="34"/>
  <c r="AC43" i="34"/>
  <c r="W43" i="34"/>
  <c r="W23" i="34"/>
  <c r="AC23" i="34"/>
  <c r="AC35" i="34"/>
  <c r="W35" i="34"/>
  <c r="AB12" i="34"/>
  <c r="AB28" i="33"/>
  <c r="AC37" i="33"/>
  <c r="U39" i="33"/>
  <c r="U38" i="33"/>
  <c r="S33" i="33"/>
  <c r="U44" i="33"/>
  <c r="AB44" i="33"/>
  <c r="S30" i="33"/>
  <c r="AC14" i="33"/>
  <c r="W14" i="33"/>
  <c r="AC30" i="33"/>
  <c r="S31" i="33"/>
  <c r="AA31" i="33"/>
  <c r="W13" i="33"/>
  <c r="U15" i="33"/>
  <c r="S11" i="33"/>
  <c r="U37" i="33"/>
  <c r="S28" i="33"/>
  <c r="W8" i="33"/>
  <c r="AB42" i="21"/>
  <c r="U28" i="21"/>
  <c r="F33" i="21"/>
  <c r="AA33" i="21" s="1"/>
  <c r="J33" i="21"/>
  <c r="AC33" i="21" s="1"/>
  <c r="H33" i="21"/>
  <c r="AB33" i="21" s="1"/>
  <c r="F37" i="21"/>
  <c r="AA37" i="21" s="1"/>
  <c r="AA26" i="21"/>
  <c r="AB14" i="21"/>
  <c r="AB46"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AA21" i="39"/>
  <c r="S21" i="39"/>
  <c r="AC17" i="37"/>
  <c r="S17" i="37"/>
  <c r="J19" i="37"/>
  <c r="W19" i="37" s="1"/>
  <c r="AA19" i="37"/>
  <c r="AA23" i="37"/>
  <c r="J23" i="37"/>
  <c r="W23" i="37" s="1"/>
  <c r="G79" i="37"/>
  <c r="J10" i="37"/>
  <c r="W10" i="37" s="1"/>
  <c r="H11" i="37"/>
  <c r="AB11" i="37" s="1"/>
  <c r="H11" i="34"/>
  <c r="U11" i="34" s="1"/>
  <c r="J10" i="34"/>
  <c r="AC10" i="34" s="1"/>
  <c r="AB41" i="33"/>
  <c r="U41"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AC23" i="21" s="1"/>
  <c r="F85" i="21"/>
  <c r="G85" i="21" s="1"/>
  <c r="H23" i="21"/>
  <c r="AB23" i="21" s="1"/>
  <c r="S13" i="21"/>
  <c r="AP7" i="1"/>
  <c r="AB45" i="21"/>
  <c r="AA32" i="21"/>
  <c r="S32" i="21"/>
  <c r="W9" i="21"/>
  <c r="AC9" i="21"/>
  <c r="AB32" i="21"/>
  <c r="U32" i="21"/>
  <c r="U32" i="39"/>
  <c r="AC32" i="39"/>
  <c r="W32" i="39"/>
  <c r="J11" i="37"/>
  <c r="AC11" i="37" s="1"/>
  <c r="J11" i="34"/>
  <c r="W11" i="34" s="1"/>
  <c r="AB36" i="33"/>
  <c r="AB19" i="33"/>
  <c r="U19" i="33"/>
  <c r="AA17" i="33"/>
  <c r="U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67"/>
  <c r="B9" i="76"/>
  <c r="M26" i="67"/>
  <c r="F20" i="31"/>
  <c r="F4" i="73"/>
  <c r="F40" i="67"/>
  <c r="E8" i="76"/>
  <c r="D6" i="73"/>
  <c r="M28" i="67"/>
  <c r="F16" i="67"/>
  <c r="F43" i="67"/>
  <c r="E12" i="76"/>
  <c r="F13" i="15"/>
  <c r="F6" i="67"/>
  <c r="M6" i="67"/>
  <c r="B10" i="76"/>
  <c r="B8" i="76"/>
  <c r="B7" i="76"/>
  <c r="F6" i="15"/>
  <c r="E11" i="76"/>
  <c r="F37" i="67"/>
  <c r="F38" i="67"/>
  <c r="B12" i="76"/>
  <c r="M23" i="67"/>
  <c r="F9" i="67"/>
  <c r="F7" i="67"/>
  <c r="M24" i="67"/>
  <c r="E13" i="76"/>
  <c r="F26" i="15"/>
  <c r="M24" i="15"/>
  <c r="F26" i="67"/>
  <c r="E2" i="68"/>
  <c r="C76" i="67"/>
  <c r="F8" i="67"/>
  <c r="E2" i="69"/>
  <c r="B13" i="76"/>
  <c r="F5" i="73"/>
  <c r="E9" i="76"/>
  <c r="F42" i="67"/>
  <c r="F16" i="15"/>
  <c r="J15" i="67"/>
  <c r="M9" i="67"/>
  <c r="F43" i="15"/>
  <c r="E10" i="76"/>
  <c r="E7" i="76"/>
  <c r="B11" i="76"/>
  <c r="F13" i="67"/>
  <c r="L47" i="67"/>
  <c r="M29" i="67"/>
  <c r="M22" i="15"/>
  <c r="AO13" i="1"/>
  <c r="M22" i="67"/>
  <c r="F3" i="73"/>
  <c r="F6" i="73"/>
  <c r="M8" i="67"/>
  <c r="F7" i="73"/>
  <c r="F7" i="1" l="1"/>
  <c r="C36" i="77"/>
  <c r="J51" i="15"/>
  <c r="D55" i="43"/>
  <c r="D54" i="43"/>
  <c r="D53" i="43"/>
  <c r="F30" i="69"/>
  <c r="F48" i="69" s="1"/>
  <c r="D68" i="9"/>
  <c r="F31" i="12"/>
  <c r="C21" i="68"/>
  <c r="G22" i="11"/>
  <c r="G26" i="12"/>
  <c r="G22" i="68"/>
  <c r="G22" i="69"/>
  <c r="F29" i="6"/>
  <c r="AB34" i="35"/>
  <c r="U34" i="35"/>
  <c r="AC27" i="33"/>
  <c r="AC23" i="37"/>
  <c r="U9" i="21"/>
  <c r="S30" i="40"/>
  <c r="U34" i="33"/>
  <c r="AB34" i="33"/>
  <c r="AA20" i="35"/>
  <c r="S20" i="35"/>
  <c r="U35" i="37"/>
  <c r="AB35" i="37"/>
  <c r="AZ521" i="3"/>
  <c r="AZ513" i="3"/>
  <c r="AZ542" i="3"/>
  <c r="AB30" i="33"/>
  <c r="U30" i="33"/>
  <c r="W31" i="33"/>
  <c r="AC31" i="33"/>
  <c r="AA44" i="21"/>
  <c r="S44" i="21"/>
  <c r="W28" i="21"/>
  <c r="AC28" i="21"/>
  <c r="U23" i="34"/>
  <c r="AB23" i="34"/>
  <c r="AC19" i="39"/>
  <c r="W19" i="39"/>
  <c r="AA39" i="21"/>
  <c r="S39" i="21"/>
  <c r="AB43" i="21"/>
  <c r="U43" i="21"/>
  <c r="AB29" i="33"/>
  <c r="U29" i="33"/>
  <c r="W45" i="33"/>
  <c r="AC45" i="33"/>
  <c r="J14" i="34"/>
  <c r="F14" i="34"/>
  <c r="H32" i="34"/>
  <c r="F32" i="34"/>
  <c r="F12" i="35"/>
  <c r="AA12" i="35" s="1"/>
  <c r="J12" i="35"/>
  <c r="AA40" i="37"/>
  <c r="S40" i="37"/>
  <c r="AZ579" i="3"/>
  <c r="AZ571" i="3"/>
  <c r="AZ570" i="3"/>
  <c r="AZ563" i="3"/>
  <c r="AZ561" i="3"/>
  <c r="BJ5" i="3"/>
  <c r="BB5" i="3"/>
  <c r="E11" i="6" s="1"/>
  <c r="E60" i="39" s="1"/>
  <c r="U21" i="39"/>
  <c r="F28" i="15"/>
  <c r="C28" i="15" s="1"/>
  <c r="F32" i="67"/>
  <c r="F60" i="67" s="1"/>
  <c r="F28" i="67"/>
  <c r="M18" i="15"/>
  <c r="M18" i="67"/>
  <c r="F30" i="11"/>
  <c r="C48" i="11" s="1"/>
  <c r="W17" i="21"/>
  <c r="AA32" i="40"/>
  <c r="AA32" i="37"/>
  <c r="W44" i="34"/>
  <c r="AZ17" i="3"/>
  <c r="AZ318" i="3"/>
  <c r="AZ389" i="3"/>
  <c r="AZ320" i="3"/>
  <c r="AZ164" i="3"/>
  <c r="AZ306" i="3"/>
  <c r="AB42" i="33"/>
  <c r="U42" i="33"/>
  <c r="AZ531" i="3"/>
  <c r="AZ497" i="3"/>
  <c r="AZ576" i="3"/>
  <c r="AA44" i="33"/>
  <c r="S12" i="40"/>
  <c r="AA12" i="40"/>
  <c r="W25" i="36"/>
  <c r="AC25" i="36"/>
  <c r="AC13" i="35"/>
  <c r="W13" i="35"/>
  <c r="S11" i="35"/>
  <c r="AA11" i="35"/>
  <c r="U45" i="33"/>
  <c r="AB45" i="33"/>
  <c r="U17" i="34"/>
  <c r="AB17" i="34"/>
  <c r="S25" i="34"/>
  <c r="AA25" i="34"/>
  <c r="AB33" i="33"/>
  <c r="U33" i="33"/>
  <c r="AA46" i="33"/>
  <c r="S46" i="33"/>
  <c r="BL581" i="3"/>
  <c r="AZ580" i="3"/>
  <c r="AZ572" i="3"/>
  <c r="BL571" i="3"/>
  <c r="AZ564" i="3"/>
  <c r="W25" i="33"/>
  <c r="F54" i="9"/>
  <c r="F32" i="15"/>
  <c r="F60" i="15" s="1"/>
  <c r="F52" i="9"/>
  <c r="F30" i="68"/>
  <c r="F48" i="68" s="1"/>
  <c r="S43" i="34"/>
  <c r="AZ14" i="3"/>
  <c r="S27" i="40"/>
  <c r="U27" i="40"/>
  <c r="G29" i="6"/>
  <c r="AZ191" i="3"/>
  <c r="AA15" i="37"/>
  <c r="W12" i="37"/>
  <c r="AC12" i="37"/>
  <c r="S36" i="35"/>
  <c r="AA36" i="35"/>
  <c r="S22" i="36"/>
  <c r="AA22" i="36"/>
  <c r="AZ577" i="3"/>
  <c r="AZ583" i="3"/>
  <c r="AZ520" i="3"/>
  <c r="AZ582" i="3"/>
  <c r="AZ502" i="3"/>
  <c r="AB14" i="40"/>
  <c r="S38" i="37"/>
  <c r="AA38" i="37"/>
  <c r="AC46" i="33"/>
  <c r="W46" i="33"/>
  <c r="S29" i="35"/>
  <c r="AA29" i="35"/>
  <c r="AA37" i="34"/>
  <c r="S37" i="34"/>
  <c r="W21" i="40"/>
  <c r="AC21" i="40"/>
  <c r="AB40" i="21"/>
  <c r="U40" i="21"/>
  <c r="AA15" i="33"/>
  <c r="S15" i="33"/>
  <c r="AC9" i="34"/>
  <c r="W9" i="34"/>
  <c r="AA35" i="34"/>
  <c r="S35" i="34"/>
  <c r="H12" i="35"/>
  <c r="W27" i="35"/>
  <c r="AC27" i="35"/>
  <c r="S35" i="33"/>
  <c r="AA35" i="33"/>
  <c r="D8" i="53"/>
  <c r="D9" i="53" s="1"/>
  <c r="B25" i="72" s="1"/>
  <c r="D120" i="9"/>
  <c r="S12" i="39"/>
  <c r="AA12" i="39"/>
  <c r="U33" i="40"/>
  <c r="AB33" i="40"/>
  <c r="AC35" i="35"/>
  <c r="W35" i="35"/>
  <c r="AA11" i="36"/>
  <c r="S11" i="36"/>
  <c r="U46" i="34"/>
  <c r="AB46" i="34"/>
  <c r="U30" i="21"/>
  <c r="AB30" i="21"/>
  <c r="AC25" i="34"/>
  <c r="W25" i="34"/>
  <c r="AA41" i="33"/>
  <c r="S41" i="33"/>
  <c r="U36" i="34"/>
  <c r="AB36" i="34"/>
  <c r="BL587" i="3"/>
  <c r="BA587" i="3"/>
  <c r="BS5" i="3"/>
  <c r="BA585" i="3"/>
  <c r="J45" i="21"/>
  <c r="F45" i="21"/>
  <c r="B101" i="43"/>
  <c r="B79" i="43"/>
  <c r="J9" i="33"/>
  <c r="H9" i="33"/>
  <c r="F9" i="33"/>
  <c r="AA9" i="33" s="1"/>
  <c r="H27" i="33"/>
  <c r="F27" i="33"/>
  <c r="J27" i="34"/>
  <c r="H27" i="34"/>
  <c r="J23" i="35"/>
  <c r="H23" i="35"/>
  <c r="AC22" i="35"/>
  <c r="W22" i="35"/>
  <c r="AZ444" i="3"/>
  <c r="C55" i="71"/>
  <c r="D54" i="71"/>
  <c r="U30" i="37"/>
  <c r="G587" i="3"/>
  <c r="AZ345" i="3"/>
  <c r="AZ334" i="3"/>
  <c r="AZ303" i="3"/>
  <c r="AZ372" i="3"/>
  <c r="AZ337" i="3"/>
  <c r="AZ200" i="3"/>
  <c r="AZ192" i="3"/>
  <c r="AZ123" i="3"/>
  <c r="AZ376" i="3"/>
  <c r="AZ309" i="3"/>
  <c r="AZ549" i="3"/>
  <c r="AA41" i="39"/>
  <c r="AB45" i="39"/>
  <c r="W23" i="39"/>
  <c r="H5" i="3"/>
  <c r="AZ515" i="3"/>
  <c r="AZ523" i="3"/>
  <c r="AZ533" i="3"/>
  <c r="AZ547" i="3"/>
  <c r="BL569" i="3"/>
  <c r="AZ569" i="3" s="1"/>
  <c r="BL557" i="3"/>
  <c r="AZ557" i="3" s="1"/>
  <c r="AZ524" i="3"/>
  <c r="BA552" i="3"/>
  <c r="AZ552" i="3" s="1"/>
  <c r="F27" i="37"/>
  <c r="F13" i="40"/>
  <c r="H14" i="39"/>
  <c r="F13" i="37"/>
  <c r="H45" i="34"/>
  <c r="F29" i="34"/>
  <c r="J28" i="34"/>
  <c r="S40" i="39"/>
  <c r="J45" i="39"/>
  <c r="W45" i="39" s="1"/>
  <c r="BL585" i="3"/>
  <c r="AZ419" i="3"/>
  <c r="AZ466" i="3"/>
  <c r="AZ480" i="3"/>
  <c r="W34" i="39"/>
  <c r="AC39" i="34"/>
  <c r="AA34" i="33"/>
  <c r="AZ387" i="3"/>
  <c r="AZ370" i="3"/>
  <c r="AZ362" i="3"/>
  <c r="AZ338" i="3"/>
  <c r="AZ319" i="3"/>
  <c r="AZ390" i="3"/>
  <c r="AZ371" i="3"/>
  <c r="AZ351" i="3"/>
  <c r="AZ336" i="3"/>
  <c r="AZ305" i="3"/>
  <c r="AZ187" i="3"/>
  <c r="AZ360" i="3"/>
  <c r="AZ539" i="3"/>
  <c r="BL553" i="3"/>
  <c r="AZ553" i="3" s="1"/>
  <c r="BL565" i="3"/>
  <c r="AZ565" i="3" s="1"/>
  <c r="G557" i="3"/>
  <c r="AZ529" i="3"/>
  <c r="AZ537" i="3"/>
  <c r="AZ518" i="3"/>
  <c r="AZ526" i="3"/>
  <c r="AZ546" i="3"/>
  <c r="J27" i="37"/>
  <c r="J28" i="33"/>
  <c r="W40" i="33"/>
  <c r="S38" i="40"/>
  <c r="W40" i="39"/>
  <c r="AB41" i="21"/>
  <c r="H9" i="34"/>
  <c r="F12" i="34"/>
  <c r="S12" i="34" s="1"/>
  <c r="J23" i="36"/>
  <c r="BA551" i="3"/>
  <c r="AZ551" i="3" s="1"/>
  <c r="BA550" i="3"/>
  <c r="BL548" i="3"/>
  <c r="AZ548" i="3" s="1"/>
  <c r="AZ458" i="3"/>
  <c r="AZ462" i="3"/>
  <c r="BA397" i="3"/>
  <c r="BL397" i="3"/>
  <c r="BA210" i="3"/>
  <c r="AZ210" i="3" s="1"/>
  <c r="BL210" i="3"/>
  <c r="BL212" i="3"/>
  <c r="G214" i="3"/>
  <c r="BL214" i="3"/>
  <c r="AZ214" i="3" s="1"/>
  <c r="G216" i="3"/>
  <c r="BL231" i="3"/>
  <c r="G233" i="3"/>
  <c r="BL233" i="3"/>
  <c r="AZ233" i="3" s="1"/>
  <c r="BA239" i="3"/>
  <c r="AZ239" i="3" s="1"/>
  <c r="BL239" i="3"/>
  <c r="G246" i="3"/>
  <c r="BA247" i="3"/>
  <c r="AZ247" i="3" s="1"/>
  <c r="BL247" i="3"/>
  <c r="G256" i="3"/>
  <c r="BA257" i="3"/>
  <c r="AZ257" i="3" s="1"/>
  <c r="G266" i="3"/>
  <c r="BA268" i="3"/>
  <c r="G276" i="3"/>
  <c r="BA277" i="3"/>
  <c r="AZ277" i="3" s="1"/>
  <c r="BL277" i="3"/>
  <c r="BL280" i="3"/>
  <c r="BA286" i="3"/>
  <c r="AZ286" i="3" s="1"/>
  <c r="G299" i="3"/>
  <c r="BL300" i="3"/>
  <c r="BL122" i="3"/>
  <c r="BA132" i="3"/>
  <c r="AZ132" i="3" s="1"/>
  <c r="BL135" i="3"/>
  <c r="AZ135" i="3" s="1"/>
  <c r="P65" i="71"/>
  <c r="P66" i="71"/>
  <c r="D75" i="71"/>
  <c r="C74" i="71"/>
  <c r="D74" i="71" s="1"/>
  <c r="D60" i="71"/>
  <c r="T60" i="71"/>
  <c r="C44" i="71"/>
  <c r="D43" i="71"/>
  <c r="C31" i="71"/>
  <c r="D30" i="71"/>
  <c r="N65" i="71"/>
  <c r="N66" i="71"/>
  <c r="F79" i="71"/>
  <c r="F78" i="71" s="1"/>
  <c r="V80" i="71"/>
  <c r="Y26" i="71"/>
  <c r="Z26" i="71" s="1"/>
  <c r="Y25" i="71"/>
  <c r="Z25" i="71" s="1"/>
  <c r="AA3" i="71"/>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3" i="3"/>
  <c r="BA446" i="3"/>
  <c r="AZ446" i="3" s="1"/>
  <c r="BA450" i="3"/>
  <c r="AZ450" i="3" s="1"/>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AZ284" i="3"/>
  <c r="AZ177" i="3"/>
  <c r="AB21" i="37"/>
  <c r="U21" i="37"/>
  <c r="AC18" i="36"/>
  <c r="W18" i="36"/>
  <c r="AB25" i="40"/>
  <c r="U25" i="40"/>
  <c r="B71" i="71"/>
  <c r="B70" i="71" s="1"/>
  <c r="S72" i="71"/>
  <c r="X25" i="71"/>
  <c r="BL55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BA426" i="3"/>
  <c r="AZ426" i="3" s="1"/>
  <c r="BA427" i="3"/>
  <c r="AZ427" i="3" s="1"/>
  <c r="BA433" i="3"/>
  <c r="AZ433" i="3" s="1"/>
  <c r="BA435" i="3"/>
  <c r="AZ435" i="3" s="1"/>
  <c r="BL437" i="3"/>
  <c r="AZ437" i="3" s="1"/>
  <c r="G439" i="3"/>
  <c r="G440" i="3"/>
  <c r="BL441" i="3"/>
  <c r="BL442" i="3"/>
  <c r="AZ442" i="3" s="1"/>
  <c r="BL444" i="3"/>
  <c r="G446" i="3"/>
  <c r="G447" i="3"/>
  <c r="BL448" i="3"/>
  <c r="AZ448" i="3" s="1"/>
  <c r="G450" i="3"/>
  <c r="G451" i="3"/>
  <c r="BA454" i="3"/>
  <c r="AZ454" i="3" s="1"/>
  <c r="BA457" i="3"/>
  <c r="AZ457" i="3" s="1"/>
  <c r="BA459" i="3"/>
  <c r="AZ459" i="3" s="1"/>
  <c r="BA460" i="3"/>
  <c r="BA461" i="3"/>
  <c r="BL464" i="3"/>
  <c r="BL466" i="3"/>
  <c r="G468" i="3"/>
  <c r="G469" i="3"/>
  <c r="BL476" i="3"/>
  <c r="AZ476" i="3" s="1"/>
  <c r="BL477" i="3"/>
  <c r="AZ477" i="3" s="1"/>
  <c r="BL478" i="3"/>
  <c r="AZ478" i="3" s="1"/>
  <c r="BL480" i="3"/>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3" i="3"/>
  <c r="AZ223" i="3" s="1"/>
  <c r="BA228" i="3"/>
  <c r="AZ228" i="3" s="1"/>
  <c r="BA229" i="3"/>
  <c r="AZ229" i="3" s="1"/>
  <c r="BL229" i="3"/>
  <c r="BL232" i="3"/>
  <c r="BL234" i="3"/>
  <c r="BA236" i="3"/>
  <c r="BA244" i="3"/>
  <c r="AZ244" i="3" s="1"/>
  <c r="BL244" i="3"/>
  <c r="BA250" i="3"/>
  <c r="AZ250" i="3" s="1"/>
  <c r="BL261" i="3"/>
  <c r="BA267" i="3"/>
  <c r="AZ267" i="3" s="1"/>
  <c r="BA274" i="3"/>
  <c r="BL274" i="3"/>
  <c r="BA279" i="3"/>
  <c r="BA116" i="3"/>
  <c r="AZ116" i="3" s="1"/>
  <c r="BA121" i="3"/>
  <c r="AZ121" i="3" s="1"/>
  <c r="BL121" i="3"/>
  <c r="BA129" i="3"/>
  <c r="BL16" i="3"/>
  <c r="AZ16" i="3" s="1"/>
  <c r="BA401" i="3"/>
  <c r="AZ401" i="3" s="1"/>
  <c r="BA403" i="3"/>
  <c r="BA404" i="3"/>
  <c r="BA405" i="3"/>
  <c r="BL410" i="3"/>
  <c r="AZ410" i="3" s="1"/>
  <c r="G412" i="3"/>
  <c r="G418" i="3"/>
  <c r="BA422" i="3"/>
  <c r="G429" i="3"/>
  <c r="BL431" i="3"/>
  <c r="G433" i="3"/>
  <c r="BL434" i="3"/>
  <c r="G436" i="3"/>
  <c r="BL438" i="3"/>
  <c r="BL439" i="3"/>
  <c r="BA441" i="3"/>
  <c r="AZ441" i="3" s="1"/>
  <c r="BL445" i="3"/>
  <c r="AZ445" i="3" s="1"/>
  <c r="BL446" i="3"/>
  <c r="BL449" i="3"/>
  <c r="BL450" i="3"/>
  <c r="BL452" i="3"/>
  <c r="AZ452" i="3" s="1"/>
  <c r="G454" i="3"/>
  <c r="BL456" i="3"/>
  <c r="BA464" i="3"/>
  <c r="BL467" i="3"/>
  <c r="AZ467" i="3" s="1"/>
  <c r="BL468" i="3"/>
  <c r="BL470" i="3"/>
  <c r="G472" i="3"/>
  <c r="G473" i="3"/>
  <c r="BL473" i="3"/>
  <c r="AZ473" i="3" s="1"/>
  <c r="BL474" i="3"/>
  <c r="G475" i="3"/>
  <c r="BA482" i="3"/>
  <c r="BA484" i="3"/>
  <c r="AZ484" i="3" s="1"/>
  <c r="G491" i="3"/>
  <c r="BA303" i="3"/>
  <c r="BA307" i="3"/>
  <c r="AZ307" i="3" s="1"/>
  <c r="G311" i="3"/>
  <c r="BL314" i="3"/>
  <c r="AZ314" i="3" s="1"/>
  <c r="G315" i="3"/>
  <c r="BA332" i="3"/>
  <c r="AZ332" i="3" s="1"/>
  <c r="BL332" i="3"/>
  <c r="G339" i="3"/>
  <c r="G364" i="3"/>
  <c r="BA367" i="3"/>
  <c r="AZ367" i="3" s="1"/>
  <c r="BA370" i="3"/>
  <c r="BA386" i="3"/>
  <c r="AZ386" i="3" s="1"/>
  <c r="G397" i="3"/>
  <c r="G210" i="3"/>
  <c r="BA216" i="3"/>
  <c r="AZ216" i="3" s="1"/>
  <c r="BA218" i="3"/>
  <c r="AZ218" i="3" s="1"/>
  <c r="BL218" i="3"/>
  <c r="BA221" i="3"/>
  <c r="AZ221" i="3" s="1"/>
  <c r="BL224" i="3"/>
  <c r="BA227" i="3"/>
  <c r="AZ227" i="3" s="1"/>
  <c r="BA230" i="3"/>
  <c r="AZ230" i="3" s="1"/>
  <c r="BL237" i="3"/>
  <c r="BL238" i="3"/>
  <c r="AZ238" i="3" s="1"/>
  <c r="G239" i="3"/>
  <c r="BA241" i="3"/>
  <c r="BL241" i="3"/>
  <c r="BA243" i="3"/>
  <c r="AZ243" i="3" s="1"/>
  <c r="BA248" i="3"/>
  <c r="AZ248" i="3" s="1"/>
  <c r="BA252" i="3"/>
  <c r="AZ252" i="3" s="1"/>
  <c r="BA254" i="3"/>
  <c r="AZ254" i="3" s="1"/>
  <c r="BA258" i="3"/>
  <c r="AZ258" i="3" s="1"/>
  <c r="BL262" i="3"/>
  <c r="G263" i="3"/>
  <c r="BL264" i="3"/>
  <c r="G268" i="3"/>
  <c r="BA271" i="3"/>
  <c r="AZ271" i="3" s="1"/>
  <c r="BL271" i="3"/>
  <c r="G281" i="3"/>
  <c r="BA282" i="3"/>
  <c r="AZ282" i="3" s="1"/>
  <c r="BL282" i="3"/>
  <c r="BA288" i="3"/>
  <c r="BL290" i="3"/>
  <c r="BL291" i="3"/>
  <c r="AZ291" i="3" s="1"/>
  <c r="BL293" i="3"/>
  <c r="AZ293" i="3" s="1"/>
  <c r="BL294" i="3"/>
  <c r="BA297" i="3"/>
  <c r="AZ297" i="3" s="1"/>
  <c r="BL297" i="3"/>
  <c r="BA301" i="3"/>
  <c r="G126" i="3"/>
  <c r="BA133" i="3"/>
  <c r="AZ133" i="3" s="1"/>
  <c r="G136" i="3"/>
  <c r="BA137" i="3"/>
  <c r="BL139" i="3"/>
  <c r="AZ139" i="3" s="1"/>
  <c r="BL141" i="3"/>
  <c r="BL143" i="3"/>
  <c r="AZ143" i="3" s="1"/>
  <c r="S18" i="35"/>
  <c r="AA18" i="35"/>
  <c r="AB26" i="71"/>
  <c r="AB27" i="71"/>
  <c r="C34" i="71"/>
  <c r="Y30" i="71"/>
  <c r="Z30" i="71" s="1"/>
  <c r="Y28" i="71"/>
  <c r="Z28" i="71" s="1"/>
  <c r="C47" i="71"/>
  <c r="D47" i="71" s="1"/>
  <c r="D46" i="71"/>
  <c r="BL157" i="3"/>
  <c r="AZ157" i="3" s="1"/>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AZ46" i="3" s="1"/>
  <c r="BL49" i="3"/>
  <c r="AZ49" i="3" s="1"/>
  <c r="BL50" i="3"/>
  <c r="AZ50" i="3" s="1"/>
  <c r="BL51" i="3"/>
  <c r="AZ51" i="3" s="1"/>
  <c r="BL53" i="3"/>
  <c r="BA56" i="3"/>
  <c r="BA57" i="3"/>
  <c r="AZ57" i="3" s="1"/>
  <c r="BL58" i="3"/>
  <c r="AZ58" i="3" s="1"/>
  <c r="G60" i="3"/>
  <c r="BA60" i="3"/>
  <c r="BA63" i="3"/>
  <c r="AZ63" i="3" s="1"/>
  <c r="BA66" i="3"/>
  <c r="AZ66" i="3" s="1"/>
  <c r="BA71" i="3"/>
  <c r="BL77" i="3"/>
  <c r="AZ77" i="3" s="1"/>
  <c r="BA79" i="3"/>
  <c r="AZ79" i="3" s="1"/>
  <c r="BA84" i="3"/>
  <c r="AZ84" i="3" s="1"/>
  <c r="BL88" i="3"/>
  <c r="AZ88" i="3" s="1"/>
  <c r="BL90" i="3"/>
  <c r="G103" i="3"/>
  <c r="BA103" i="3"/>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BA222" i="3"/>
  <c r="AZ222" i="3" s="1"/>
  <c r="BA224" i="3"/>
  <c r="AZ224" i="3" s="1"/>
  <c r="BA226" i="3"/>
  <c r="BA237" i="3"/>
  <c r="BL240" i="3"/>
  <c r="AZ240" i="3" s="1"/>
  <c r="BA242" i="3"/>
  <c r="AZ242" i="3" s="1"/>
  <c r="BL245" i="3"/>
  <c r="AZ245" i="3" s="1"/>
  <c r="G247" i="3"/>
  <c r="BL255" i="3"/>
  <c r="AZ255" i="3" s="1"/>
  <c r="G257" i="3"/>
  <c r="BL257" i="3"/>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AZ302" i="3" s="1"/>
  <c r="BA114" i="3"/>
  <c r="BL123" i="3"/>
  <c r="BA128" i="3"/>
  <c r="AZ128" i="3" s="1"/>
  <c r="BL134" i="3"/>
  <c r="AZ134" i="3" s="1"/>
  <c r="BL137" i="3"/>
  <c r="BA146" i="3"/>
  <c r="AZ146" i="3" s="1"/>
  <c r="BA150" i="3"/>
  <c r="AZ150" i="3" s="1"/>
  <c r="BL167" i="3"/>
  <c r="AZ167" i="3" s="1"/>
  <c r="BL178" i="3"/>
  <c r="BA180" i="3"/>
  <c r="AZ180" i="3" s="1"/>
  <c r="BL182" i="3"/>
  <c r="AZ182" i="3" s="1"/>
  <c r="BA185" i="3"/>
  <c r="BL191" i="3"/>
  <c r="BA193" i="3"/>
  <c r="BA196" i="3"/>
  <c r="AZ196" i="3" s="1"/>
  <c r="G203" i="3"/>
  <c r="BA205" i="3"/>
  <c r="AZ205" i="3" s="1"/>
  <c r="BL20" i="3"/>
  <c r="BA21" i="3"/>
  <c r="AZ21" i="3" s="1"/>
  <c r="BA25" i="3"/>
  <c r="AZ25" i="3" s="1"/>
  <c r="BA26" i="3"/>
  <c r="BL28" i="3"/>
  <c r="BA29" i="3"/>
  <c r="AZ29" i="3" s="1"/>
  <c r="BA36" i="3"/>
  <c r="BL38" i="3"/>
  <c r="BA39" i="3"/>
  <c r="BL47" i="3"/>
  <c r="AZ47" i="3" s="1"/>
  <c r="G50" i="3"/>
  <c r="G52" i="3"/>
  <c r="BA52" i="3"/>
  <c r="AZ52" i="3" s="1"/>
  <c r="BA53" i="3"/>
  <c r="AZ53" i="3" s="1"/>
  <c r="BA54" i="3"/>
  <c r="AZ54" i="3" s="1"/>
  <c r="BL57" i="3"/>
  <c r="G59" i="3"/>
  <c r="BL62" i="3"/>
  <c r="AZ62" i="3" s="1"/>
  <c r="BL63" i="3"/>
  <c r="BL65" i="3"/>
  <c r="AZ65" i="3" s="1"/>
  <c r="BL66" i="3"/>
  <c r="BL67" i="3"/>
  <c r="AZ67" i="3" s="1"/>
  <c r="BL70" i="3"/>
  <c r="AZ70" i="3" s="1"/>
  <c r="BL71" i="3"/>
  <c r="BL72" i="3"/>
  <c r="AZ72" i="3" s="1"/>
  <c r="BL75" i="3"/>
  <c r="BL81" i="3"/>
  <c r="BA82" i="3"/>
  <c r="AZ82" i="3" s="1"/>
  <c r="BL83" i="3"/>
  <c r="G88" i="3"/>
  <c r="BA90" i="3"/>
  <c r="BA92" i="3"/>
  <c r="G101" i="3"/>
  <c r="BA101" i="3"/>
  <c r="AZ101" i="3" s="1"/>
  <c r="BL106" i="3"/>
  <c r="BA108" i="3"/>
  <c r="AZ108" i="3" s="1"/>
  <c r="BA110" i="3"/>
  <c r="AZ110" i="3" s="1"/>
  <c r="B13" i="1"/>
  <c r="E13" i="1" s="1"/>
  <c r="K13" i="1"/>
  <c r="M13" i="1" s="1"/>
  <c r="O13" i="1" s="1"/>
  <c r="P13" i="1" s="1"/>
  <c r="C40" i="68"/>
  <c r="W21" i="37"/>
  <c r="AC21" i="37"/>
  <c r="AB21" i="34"/>
  <c r="U21" i="34"/>
  <c r="C86" i="71"/>
  <c r="D86" i="71" s="1"/>
  <c r="D87" i="71"/>
  <c r="O68" i="71"/>
  <c r="C52" i="71"/>
  <c r="D51" i="71"/>
  <c r="X26" i="71"/>
  <c r="AB34" i="71"/>
  <c r="C63" i="71"/>
  <c r="D62" i="71"/>
  <c r="F66" i="71"/>
  <c r="Q66" i="71" s="1"/>
  <c r="Q67" i="71"/>
  <c r="P68" i="71"/>
  <c r="U68" i="71"/>
  <c r="BA249" i="3"/>
  <c r="AZ249" i="3" s="1"/>
  <c r="BL249" i="3"/>
  <c r="BA251" i="3"/>
  <c r="AZ251" i="3" s="1"/>
  <c r="BL251" i="3"/>
  <c r="BA253" i="3"/>
  <c r="BL260" i="3"/>
  <c r="AZ260" i="3" s="1"/>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G188" i="3"/>
  <c r="BL189" i="3"/>
  <c r="AZ189" i="3" s="1"/>
  <c r="BL190" i="3"/>
  <c r="G191" i="3"/>
  <c r="BA192" i="3"/>
  <c r="BL197" i="3"/>
  <c r="G198" i="3"/>
  <c r="BL199" i="3"/>
  <c r="AZ199" i="3" s="1"/>
  <c r="BA200" i="3"/>
  <c r="BA202" i="3"/>
  <c r="BL207" i="3"/>
  <c r="AZ207" i="3" s="1"/>
  <c r="BL18" i="3"/>
  <c r="G19" i="3"/>
  <c r="BL19" i="3"/>
  <c r="AZ19" i="3" s="1"/>
  <c r="BA20" i="3"/>
  <c r="AZ20" i="3" s="1"/>
  <c r="BL25" i="3"/>
  <c r="BL27" i="3"/>
  <c r="AZ27" i="3" s="1"/>
  <c r="BA28" i="3"/>
  <c r="AZ28" i="3" s="1"/>
  <c r="BA31" i="3"/>
  <c r="AZ31" i="3" s="1"/>
  <c r="BA32" i="3"/>
  <c r="G38" i="3"/>
  <c r="BA38" i="3"/>
  <c r="BA41" i="3"/>
  <c r="AZ41" i="3" s="1"/>
  <c r="BA42" i="3"/>
  <c r="G46" i="3"/>
  <c r="G47" i="3"/>
  <c r="BL48" i="3"/>
  <c r="AZ48" i="3" s="1"/>
  <c r="BL54" i="3"/>
  <c r="BL55" i="3"/>
  <c r="AZ55" i="3" s="1"/>
  <c r="G57" i="3"/>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91" i="3"/>
  <c r="AZ91" i="3" s="1"/>
  <c r="BL103" i="3"/>
  <c r="G104" i="3"/>
  <c r="BA106" i="3"/>
  <c r="AZ106" i="3" s="1"/>
  <c r="BL108" i="3"/>
  <c r="G110" i="3"/>
  <c r="BL111" i="3"/>
  <c r="W21" i="21"/>
  <c r="C29" i="39"/>
  <c r="AB25" i="71"/>
  <c r="AB28" i="71"/>
  <c r="T28" i="71"/>
  <c r="D28" i="71"/>
  <c r="U28" i="71" s="1"/>
  <c r="C27" i="71"/>
  <c r="X33" i="71"/>
  <c r="X34" i="71"/>
  <c r="X36" i="71"/>
  <c r="AB37" i="71"/>
  <c r="AB35" i="71"/>
  <c r="V72" i="71"/>
  <c r="F71" i="71"/>
  <c r="F70" i="71" s="1"/>
  <c r="V24" i="71"/>
  <c r="E23" i="71"/>
  <c r="E22" i="71" s="1"/>
  <c r="E21" i="71" s="1"/>
  <c r="E20" i="71" s="1"/>
  <c r="V20" i="71" s="1"/>
  <c r="F35" i="71"/>
  <c r="F36" i="71" s="1"/>
  <c r="V36" i="71" s="1"/>
  <c r="AA34" i="71"/>
  <c r="B51" i="71"/>
  <c r="B52" i="71" s="1"/>
  <c r="S52" i="71" s="1"/>
  <c r="BL94" i="3"/>
  <c r="AZ94" i="3" s="1"/>
  <c r="BA100" i="3"/>
  <c r="AZ100" i="3" s="1"/>
  <c r="BA102" i="3"/>
  <c r="AZ102" i="3" s="1"/>
  <c r="BL105" i="3"/>
  <c r="AZ105" i="3" s="1"/>
  <c r="G107" i="3"/>
  <c r="BL107" i="3"/>
  <c r="BA111" i="3"/>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S34" i="21"/>
  <c r="J34" i="35"/>
  <c r="F34" i="35"/>
  <c r="J26" i="37"/>
  <c r="F26" i="37"/>
  <c r="F40" i="40"/>
  <c r="G578" i="3"/>
  <c r="AZ431" i="3"/>
  <c r="AZ439" i="3"/>
  <c r="AZ449" i="3"/>
  <c r="AZ456" i="3"/>
  <c r="AZ468" i="3"/>
  <c r="AZ470" i="3"/>
  <c r="W35" i="39"/>
  <c r="F27" i="34"/>
  <c r="C21" i="39"/>
  <c r="U9" i="36"/>
  <c r="U14" i="37"/>
  <c r="H12" i="21"/>
  <c r="G526" i="3"/>
  <c r="AZ420" i="3"/>
  <c r="AZ424" i="3"/>
  <c r="AZ436" i="3"/>
  <c r="AZ438"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76"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BA261" i="3"/>
  <c r="BA264" i="3"/>
  <c r="BA266" i="3"/>
  <c r="AZ266" i="3" s="1"/>
  <c r="G272" i="3"/>
  <c r="G275" i="3"/>
  <c r="BL276" i="3"/>
  <c r="BL279" i="3"/>
  <c r="AZ279" i="3" s="1"/>
  <c r="BL281" i="3"/>
  <c r="AZ281" i="3" s="1"/>
  <c r="BA285" i="3"/>
  <c r="AZ285" i="3" s="1"/>
  <c r="BA287" i="3"/>
  <c r="AZ290" i="3"/>
  <c r="AZ153"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AZ87" i="3"/>
  <c r="BL202" i="3"/>
  <c r="AZ30" i="3"/>
  <c r="BL36" i="3"/>
  <c r="AZ36" i="3" s="1"/>
  <c r="AZ40"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0" i="3"/>
  <c r="AZ92" i="3"/>
  <c r="BL78" i="3"/>
  <c r="AZ78" i="3" s="1"/>
  <c r="BA83" i="3"/>
  <c r="AZ83" i="3" s="1"/>
  <c r="G91" i="3"/>
  <c r="BL95" i="3"/>
  <c r="BL98" i="3"/>
  <c r="AZ98" i="3" s="1"/>
  <c r="BL109" i="3"/>
  <c r="AZ109" i="3" s="1"/>
  <c r="AB21" i="21"/>
  <c r="AZ95" i="3"/>
  <c r="G77" i="3"/>
  <c r="BA81" i="3"/>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P11"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I1" i="73"/>
  <c r="B39" i="1" s="1"/>
  <c r="F51" i="67"/>
  <c r="F65" i="67"/>
  <c r="F71" i="15"/>
  <c r="F66" i="67"/>
  <c r="Q71" i="67"/>
  <c r="C27" i="67"/>
  <c r="F71" i="67"/>
  <c r="C27" i="15"/>
  <c r="N59" i="67"/>
  <c r="L59" i="67"/>
  <c r="M59" i="67"/>
  <c r="B13" i="70"/>
  <c r="M7" i="67"/>
  <c r="J6" i="67" s="1"/>
  <c r="F50" i="67"/>
  <c r="F68" i="67"/>
  <c r="F64" i="67"/>
  <c r="C36" i="68"/>
  <c r="D9" i="69"/>
  <c r="C36" i="69"/>
  <c r="D9" i="68"/>
  <c r="L48" i="67"/>
  <c r="F40" i="15"/>
  <c r="M8" i="15"/>
  <c r="D3" i="73"/>
  <c r="M29" i="15"/>
  <c r="F8" i="15"/>
  <c r="F38" i="15"/>
  <c r="L48" i="15"/>
  <c r="J15" i="15"/>
  <c r="L47" i="15"/>
  <c r="C16" i="67"/>
  <c r="F7" i="15"/>
  <c r="M9" i="15"/>
  <c r="D4" i="73"/>
  <c r="F9" i="15"/>
  <c r="M6" i="15"/>
  <c r="D5" i="73"/>
  <c r="F37" i="15"/>
  <c r="M26" i="15"/>
  <c r="M28" i="15"/>
  <c r="D7" i="73"/>
  <c r="C76" i="15"/>
  <c r="C16" i="15"/>
  <c r="F36" i="15"/>
  <c r="F42" i="15"/>
  <c r="M23" i="15"/>
  <c r="I54" i="67" l="1"/>
  <c r="J53" i="67"/>
  <c r="L58" i="67"/>
  <c r="Q60" i="67" s="1"/>
  <c r="J57" i="67"/>
  <c r="J55" i="67" s="1"/>
  <c r="J58" i="67" s="1"/>
  <c r="Q50" i="67" s="1"/>
  <c r="L56" i="67"/>
  <c r="F36" i="77"/>
  <c r="D39" i="77"/>
  <c r="E39" i="77"/>
  <c r="G7" i="1"/>
  <c r="B21" i="31"/>
  <c r="J26" i="43"/>
  <c r="Q16" i="1"/>
  <c r="F27" i="69" s="1"/>
  <c r="C47" i="69" s="1"/>
  <c r="D45" i="69" s="1"/>
  <c r="E10" i="6"/>
  <c r="E8" i="6"/>
  <c r="F27" i="6" s="1"/>
  <c r="F26" i="43"/>
  <c r="E26" i="43"/>
  <c r="H26" i="43"/>
  <c r="P6" i="1"/>
  <c r="C13" i="12" s="1"/>
  <c r="E59" i="40"/>
  <c r="G16" i="1"/>
  <c r="J7" i="36"/>
  <c r="F66" i="15"/>
  <c r="F64" i="15"/>
  <c r="F51" i="15"/>
  <c r="C6" i="15"/>
  <c r="C32" i="15" s="1"/>
  <c r="Q71" i="15"/>
  <c r="F65" i="15"/>
  <c r="M7" i="15"/>
  <c r="J6" i="15" s="1"/>
  <c r="J18" i="15" s="1"/>
  <c r="F31" i="15"/>
  <c r="F50" i="15"/>
  <c r="L59" i="15"/>
  <c r="Q74" i="15" s="1"/>
  <c r="N59" i="15"/>
  <c r="L58" i="15"/>
  <c r="Q60" i="15" s="1"/>
  <c r="M59" i="15"/>
  <c r="F68" i="15"/>
  <c r="J57" i="15"/>
  <c r="J55" i="15" s="1"/>
  <c r="J58" i="15" s="1"/>
  <c r="Q50" i="15" s="1"/>
  <c r="I54" i="15"/>
  <c r="J53" i="15"/>
  <c r="L56" i="15" s="1"/>
  <c r="C26" i="71"/>
  <c r="D26" i="71" s="1"/>
  <c r="D27" i="71"/>
  <c r="D34" i="71"/>
  <c r="C35" i="71"/>
  <c r="D31" i="71"/>
  <c r="C32" i="71"/>
  <c r="S27" i="37"/>
  <c r="AA27" i="37"/>
  <c r="U23" i="35"/>
  <c r="AB23" i="35"/>
  <c r="AA27" i="33"/>
  <c r="S27" i="33"/>
  <c r="W45" i="21"/>
  <c r="AC45" i="21"/>
  <c r="U12" i="35"/>
  <c r="AB12" i="35"/>
  <c r="D20" i="53"/>
  <c r="B40" i="72" s="1"/>
  <c r="H16" i="1"/>
  <c r="E28" i="6"/>
  <c r="K14" i="1" s="1"/>
  <c r="K16" i="1" s="1"/>
  <c r="AZ85" i="3"/>
  <c r="AZ202" i="3"/>
  <c r="AZ141" i="3"/>
  <c r="AZ287" i="3"/>
  <c r="AZ264" i="3"/>
  <c r="AZ234" i="3"/>
  <c r="AA12" i="34"/>
  <c r="AZ111" i="3"/>
  <c r="AZ5" i="3" s="1"/>
  <c r="AZ178" i="3"/>
  <c r="AZ118" i="3"/>
  <c r="AZ39" i="3"/>
  <c r="AZ237" i="3"/>
  <c r="B19" i="71"/>
  <c r="B18" i="71" s="1"/>
  <c r="B17" i="71" s="1"/>
  <c r="B16" i="71" s="1"/>
  <c r="S20" i="71"/>
  <c r="T40" i="71"/>
  <c r="D40" i="71"/>
  <c r="AZ197" i="3"/>
  <c r="AZ241" i="3"/>
  <c r="AZ464" i="3"/>
  <c r="AZ422" i="3"/>
  <c r="AZ405" i="3"/>
  <c r="AZ274" i="3"/>
  <c r="AZ461" i="3"/>
  <c r="AZ425" i="3"/>
  <c r="AZ368" i="3"/>
  <c r="AZ353" i="3"/>
  <c r="AZ397" i="3"/>
  <c r="AZ550" i="3"/>
  <c r="U9" i="34"/>
  <c r="AB9" i="34"/>
  <c r="AA13" i="37"/>
  <c r="S13" i="37"/>
  <c r="AC23" i="35"/>
  <c r="W23" i="35"/>
  <c r="U27" i="33"/>
  <c r="AB27" i="33"/>
  <c r="AZ585" i="3"/>
  <c r="S32" i="34"/>
  <c r="AA32" i="34"/>
  <c r="U45" i="34"/>
  <c r="AB45" i="34"/>
  <c r="AC9" i="33"/>
  <c r="W9" i="33"/>
  <c r="W14" i="34"/>
  <c r="AC14" i="34"/>
  <c r="Q65" i="71"/>
  <c r="AZ81" i="3"/>
  <c r="AZ261" i="3"/>
  <c r="AZ492" i="3"/>
  <c r="AC45" i="39"/>
  <c r="C64" i="71"/>
  <c r="D63" i="71"/>
  <c r="T52" i="71"/>
  <c r="D52" i="71"/>
  <c r="AZ38" i="3"/>
  <c r="D23" i="71"/>
  <c r="C22" i="71"/>
  <c r="D67" i="71"/>
  <c r="C66" i="71"/>
  <c r="O67" i="71"/>
  <c r="AZ71" i="3"/>
  <c r="AZ190" i="3"/>
  <c r="AZ137" i="3"/>
  <c r="AZ301" i="3"/>
  <c r="AZ404" i="3"/>
  <c r="AZ460" i="3"/>
  <c r="D44" i="71"/>
  <c r="T44" i="71"/>
  <c r="AC28" i="33"/>
  <c r="W28" i="33"/>
  <c r="AC28" i="34"/>
  <c r="W28" i="34"/>
  <c r="AB14" i="39"/>
  <c r="U14" i="39"/>
  <c r="AB27" i="34"/>
  <c r="U27" i="34"/>
  <c r="AB32" i="34"/>
  <c r="U32" i="34"/>
  <c r="G5" i="3"/>
  <c r="B3" i="3" s="1"/>
  <c r="AZ253" i="3"/>
  <c r="AZ482" i="3"/>
  <c r="AZ75" i="3"/>
  <c r="AZ103" i="3"/>
  <c r="AZ403" i="3"/>
  <c r="AZ483" i="3"/>
  <c r="AZ421" i="3"/>
  <c r="AC23" i="36"/>
  <c r="W23" i="36"/>
  <c r="AC27" i="37"/>
  <c r="W27" i="37"/>
  <c r="S29" i="34"/>
  <c r="AA29" i="34"/>
  <c r="AA13" i="40"/>
  <c r="S13" i="40"/>
  <c r="C56" i="71"/>
  <c r="D55" i="71"/>
  <c r="AC27" i="34"/>
  <c r="W27" i="34"/>
  <c r="AB9" i="33"/>
  <c r="U9" i="33"/>
  <c r="AA45" i="21"/>
  <c r="S45" i="21"/>
  <c r="AZ587" i="3"/>
  <c r="D121" i="9"/>
  <c r="D7" i="52" s="1"/>
  <c r="D6" i="52"/>
  <c r="W12" i="35"/>
  <c r="AC12" i="35"/>
  <c r="S14" i="34"/>
  <c r="AA14" i="34"/>
  <c r="J7" i="37"/>
  <c r="K1" i="7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D5" i="43"/>
  <c r="J10" i="40"/>
  <c r="AC10" i="40" s="1"/>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M11" i="67"/>
  <c r="J10" i="67" s="1"/>
  <c r="J5" i="67" s="1"/>
  <c r="F11" i="15"/>
  <c r="M11" i="15"/>
  <c r="J10" i="15" s="1"/>
  <c r="F11" i="67"/>
  <c r="J18" i="67"/>
  <c r="F1" i="67"/>
  <c r="Q52" i="67"/>
  <c r="Q61" i="67"/>
  <c r="Q74" i="67"/>
  <c r="AE11" i="1"/>
  <c r="AE9" i="1"/>
  <c r="F27" i="68"/>
  <c r="AE7" i="1"/>
  <c r="AE8" i="1"/>
  <c r="AE12" i="1"/>
  <c r="AE10" i="1"/>
  <c r="F41" i="67"/>
  <c r="G1" i="73"/>
  <c r="Q73" i="67" l="1"/>
  <c r="C29" i="69"/>
  <c r="D27" i="69" s="1"/>
  <c r="E539" i="3"/>
  <c r="E199" i="3"/>
  <c r="E255" i="3"/>
  <c r="E56" i="3"/>
  <c r="E76" i="3"/>
  <c r="E249" i="3"/>
  <c r="E144" i="3"/>
  <c r="E21" i="3"/>
  <c r="E96" i="3"/>
  <c r="E251" i="3"/>
  <c r="E534" i="3"/>
  <c r="E13" i="3"/>
  <c r="E243" i="3"/>
  <c r="E370" i="3"/>
  <c r="E393" i="3"/>
  <c r="E490" i="3"/>
  <c r="E202" i="3"/>
  <c r="E15" i="3"/>
  <c r="E339" i="3"/>
  <c r="E50" i="3"/>
  <c r="E552" i="3"/>
  <c r="E65"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89" i="3"/>
  <c r="E557" i="3"/>
  <c r="E377" i="3"/>
  <c r="E509" i="3"/>
  <c r="M6" i="3"/>
  <c r="E563" i="3"/>
  <c r="E423" i="3"/>
  <c r="E119" i="3"/>
  <c r="E142" i="3"/>
  <c r="E499" i="3"/>
  <c r="I3" i="6"/>
  <c r="E192" i="3"/>
  <c r="E484" i="3"/>
  <c r="E300" i="3"/>
  <c r="E381" i="3"/>
  <c r="E281" i="3"/>
  <c r="E129" i="3"/>
  <c r="E287" i="3"/>
  <c r="E456" i="3"/>
  <c r="E452" i="3"/>
  <c r="E78" i="3"/>
  <c r="E326" i="3"/>
  <c r="E493" i="3"/>
  <c r="F10" i="39"/>
  <c r="J10" i="39"/>
  <c r="W10" i="39" s="1"/>
  <c r="E240" i="3"/>
  <c r="E172" i="3"/>
  <c r="E531" i="3"/>
  <c r="E577" i="3"/>
  <c r="E231" i="3"/>
  <c r="E478" i="3"/>
  <c r="E583" i="3"/>
  <c r="E553" i="3"/>
  <c r="E496" i="3"/>
  <c r="E298" i="3"/>
  <c r="E548" i="3"/>
  <c r="E82" i="3"/>
  <c r="E464" i="3"/>
  <c r="E521" i="3"/>
  <c r="E52" i="3"/>
  <c r="E223" i="3"/>
  <c r="E140" i="3"/>
  <c r="E75" i="3"/>
  <c r="E33" i="3"/>
  <c r="E541" i="3"/>
  <c r="D26" i="43"/>
  <c r="C25" i="43" s="1"/>
  <c r="C33" i="43" s="1"/>
  <c r="E118" i="3"/>
  <c r="E161" i="3"/>
  <c r="E268" i="3"/>
  <c r="E204" i="3"/>
  <c r="E586" i="3"/>
  <c r="E143" i="3"/>
  <c r="E414" i="3"/>
  <c r="E457" i="3"/>
  <c r="E290" i="3"/>
  <c r="E282" i="3"/>
  <c r="E576" i="3"/>
  <c r="E330" i="3"/>
  <c r="E169" i="3"/>
  <c r="E432" i="3"/>
  <c r="E288" i="3"/>
  <c r="E154" i="3"/>
  <c r="E582" i="3"/>
  <c r="E51" i="3"/>
  <c r="E455" i="3"/>
  <c r="H10" i="40"/>
  <c r="AB10" i="40" s="1"/>
  <c r="E131" i="3"/>
  <c r="E483" i="3"/>
  <c r="X6" i="3"/>
  <c r="E311" i="3"/>
  <c r="E526" i="3"/>
  <c r="E74" i="3"/>
  <c r="E545" i="3"/>
  <c r="E91" i="3"/>
  <c r="E555" i="3"/>
  <c r="E186" i="3"/>
  <c r="E279" i="3"/>
  <c r="E519" i="3"/>
  <c r="E260" i="3"/>
  <c r="E358" i="3"/>
  <c r="E404" i="3"/>
  <c r="I6" i="3"/>
  <c r="E262" i="3"/>
  <c r="E254" i="3"/>
  <c r="E574" i="3"/>
  <c r="E272" i="3"/>
  <c r="E257" i="3"/>
  <c r="E532" i="3"/>
  <c r="E488" i="3"/>
  <c r="E373" i="3"/>
  <c r="E57" i="3"/>
  <c r="E218" i="3"/>
  <c r="E43" i="3"/>
  <c r="E463" i="3"/>
  <c r="E225" i="3"/>
  <c r="E363" i="3"/>
  <c r="F10" i="40"/>
  <c r="S10" i="40" s="1"/>
  <c r="E242" i="3"/>
  <c r="AI6" i="3"/>
  <c r="E189" i="3"/>
  <c r="E201" i="3"/>
  <c r="E572" i="3"/>
  <c r="E485" i="3"/>
  <c r="E362" i="3"/>
  <c r="E406" i="3"/>
  <c r="E347" i="3"/>
  <c r="E180" i="3"/>
  <c r="E538" i="3"/>
  <c r="E343" i="3"/>
  <c r="E162" i="3"/>
  <c r="E107" i="3"/>
  <c r="E433" i="3"/>
  <c r="E193" i="3"/>
  <c r="E518" i="3"/>
  <c r="E130" i="3"/>
  <c r="E151" i="3"/>
  <c r="E480" i="3"/>
  <c r="E443" i="3"/>
  <c r="E32" i="3"/>
  <c r="E344" i="3"/>
  <c r="E156" i="3"/>
  <c r="E221" i="3"/>
  <c r="E418" i="3"/>
  <c r="E153" i="3"/>
  <c r="E126" i="3"/>
  <c r="E379" i="3"/>
  <c r="E475" i="3"/>
  <c r="E313" i="3"/>
  <c r="E98" i="3"/>
  <c r="Y6" i="3"/>
  <c r="E341" i="3"/>
  <c r="E19" i="3"/>
  <c r="E421" i="3"/>
  <c r="E155" i="3"/>
  <c r="E176" i="3"/>
  <c r="E299" i="3"/>
  <c r="E333" i="3"/>
  <c r="E498" i="3"/>
  <c r="E83" i="3"/>
  <c r="E104" i="3"/>
  <c r="E205" i="3"/>
  <c r="E332" i="3"/>
  <c r="E23" i="3"/>
  <c r="E292" i="3"/>
  <c r="R6" i="3"/>
  <c r="E378" i="3"/>
  <c r="E100" i="3"/>
  <c r="AB6" i="3"/>
  <c r="E70" i="3"/>
  <c r="E468" i="3"/>
  <c r="E277" i="3"/>
  <c r="E216" i="3"/>
  <c r="E44" i="3"/>
  <c r="E31" i="3"/>
  <c r="E253" i="3"/>
  <c r="E407" i="3"/>
  <c r="E166" i="3"/>
  <c r="E55" i="3"/>
  <c r="AN6" i="3"/>
  <c r="E97" i="3"/>
  <c r="E29" i="3"/>
  <c r="E93" i="3"/>
  <c r="E122" i="3"/>
  <c r="E259" i="3"/>
  <c r="E138" i="3"/>
  <c r="E101" i="3"/>
  <c r="E123" i="3"/>
  <c r="E40" i="3"/>
  <c r="E486" i="3"/>
  <c r="E324" i="3"/>
  <c r="E469" i="3"/>
  <c r="E522" i="3"/>
  <c r="E81" i="3"/>
  <c r="E425" i="3"/>
  <c r="E435" i="3"/>
  <c r="H10" i="39"/>
  <c r="U10" i="39" s="1"/>
  <c r="E248" i="3"/>
  <c r="E132" i="3"/>
  <c r="E135" i="3"/>
  <c r="E215" i="3"/>
  <c r="E579" i="3"/>
  <c r="E182" i="3"/>
  <c r="AO6" i="3"/>
  <c r="E171" i="3"/>
  <c r="E133" i="3"/>
  <c r="E399" i="3"/>
  <c r="E183" i="3"/>
  <c r="E270" i="3"/>
  <c r="E530" i="3"/>
  <c r="E476" i="3"/>
  <c r="E567" i="3"/>
  <c r="E450" i="3"/>
  <c r="E511" i="3"/>
  <c r="E61" i="3"/>
  <c r="E230" i="3"/>
  <c r="E569" i="3"/>
  <c r="E295" i="3"/>
  <c r="P6" i="3"/>
  <c r="E274" i="3"/>
  <c r="Q6" i="3"/>
  <c r="AA6" i="3"/>
  <c r="E213" i="3"/>
  <c r="E390" i="3"/>
  <c r="E501" i="3"/>
  <c r="E546" i="3"/>
  <c r="E397" i="3"/>
  <c r="E471" i="3"/>
  <c r="E306" i="3"/>
  <c r="E167" i="3"/>
  <c r="E66" i="3"/>
  <c r="E47" i="3"/>
  <c r="E209" i="3"/>
  <c r="E312" i="3"/>
  <c r="E398" i="3"/>
  <c r="E147" i="3"/>
  <c r="E137" i="3"/>
  <c r="E346" i="3"/>
  <c r="E440" i="3"/>
  <c r="E342" i="3"/>
  <c r="E360" i="3"/>
  <c r="E206" i="3"/>
  <c r="E264" i="3"/>
  <c r="E103" i="3"/>
  <c r="E479" i="3"/>
  <c r="E510" i="3"/>
  <c r="J5" i="15"/>
  <c r="J24" i="15" s="1"/>
  <c r="Q52" i="15"/>
  <c r="Q73" i="15"/>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C49" i="15"/>
  <c r="F1" i="15"/>
  <c r="Q61" i="15"/>
  <c r="AY6" i="3"/>
  <c r="E3" i="6"/>
  <c r="E30" i="6"/>
  <c r="E31" i="6" s="1"/>
  <c r="S7" i="36"/>
  <c r="K26" i="6"/>
  <c r="M26" i="6" s="1"/>
  <c r="I26" i="6" s="1"/>
  <c r="S26" i="6" s="1"/>
  <c r="D56" i="71"/>
  <c r="T56" i="71"/>
  <c r="O65" i="71"/>
  <c r="D66" i="71"/>
  <c r="O66" i="71"/>
  <c r="T64" i="71"/>
  <c r="D64" i="71"/>
  <c r="T32" i="71"/>
  <c r="D32" i="71"/>
  <c r="M14" i="1"/>
  <c r="M16" i="1"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1" i="71"/>
  <c r="D22"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M27" i="67"/>
  <c r="M27" i="15"/>
  <c r="F41" i="15"/>
  <c r="F25" i="12" l="1"/>
  <c r="C26" i="12" s="1"/>
  <c r="D25" i="12" s="1"/>
  <c r="H6" i="3"/>
  <c r="AC6" i="3"/>
  <c r="AA10" i="39"/>
  <c r="S10" i="39"/>
  <c r="C48" i="15"/>
  <c r="C66" i="15" s="1"/>
  <c r="O14" i="1"/>
  <c r="O16" i="1" s="1"/>
  <c r="D21" i="71"/>
  <c r="C20" i="71"/>
  <c r="D116" i="43"/>
  <c r="D36" i="71"/>
  <c r="T36" i="71"/>
  <c r="F22" i="68"/>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4" i="67"/>
  <c r="C17" i="15"/>
  <c r="C17" i="67"/>
  <c r="C44" i="11" l="1"/>
  <c r="D41" i="11" s="1"/>
  <c r="P14" i="1"/>
  <c r="P16" i="1" s="1"/>
  <c r="C11" i="12" s="1"/>
  <c r="C15" i="12" s="1"/>
  <c r="H22" i="6"/>
  <c r="E6" i="3"/>
  <c r="C60" i="15"/>
  <c r="C26" i="68"/>
  <c r="D22" i="68" s="1"/>
  <c r="F41" i="68"/>
  <c r="C44" i="68"/>
  <c r="D41" i="68" s="1"/>
  <c r="H24" i="6"/>
  <c r="R24" i="6" s="1"/>
  <c r="R11" i="1" s="1"/>
  <c r="C26" i="11"/>
  <c r="D22" i="11" s="1"/>
  <c r="H25" i="6"/>
  <c r="T20" i="71"/>
  <c r="D20" i="71"/>
  <c r="U20" i="71" s="1"/>
  <c r="C19" i="7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C12" i="12"/>
  <c r="C18" i="12"/>
  <c r="C18" i="71"/>
  <c r="D19" i="71"/>
  <c r="C22" i="11"/>
  <c r="C31" i="11" s="1"/>
  <c r="C19" i="67"/>
  <c r="C20" i="67" s="1"/>
  <c r="C26" i="67" s="1"/>
  <c r="T16" i="1"/>
  <c r="C18" i="15"/>
  <c r="C15" i="15"/>
  <c r="C38" i="68"/>
  <c r="C35" i="68"/>
  <c r="C36" i="11"/>
  <c r="C37" i="11"/>
  <c r="C34" i="11"/>
  <c r="C23" i="12"/>
  <c r="C14" i="12"/>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6" i="12"/>
  <c r="C21" i="12" s="1"/>
  <c r="C22" i="12" s="1"/>
  <c r="C30" i="12" s="1"/>
  <c r="C28"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2" i="12" s="1"/>
  <c r="B2" i="12" s="1"/>
  <c r="B3" i="12" s="1"/>
  <c r="C16" i="71"/>
  <c r="D17" i="71"/>
  <c r="W7" i="21"/>
  <c r="AA7" i="21"/>
  <c r="R48" i="21" s="1"/>
  <c r="J7" i="35"/>
  <c r="W7" i="35" s="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25" i="68" l="1"/>
  <c r="C22" i="68" s="1"/>
  <c r="C31" i="68" s="1"/>
  <c r="E11" i="77"/>
  <c r="E7" i="77" s="1"/>
  <c r="C27" i="77" s="1"/>
  <c r="D7" i="77"/>
  <c r="C26" i="77" s="1"/>
  <c r="C32" i="77" s="1"/>
  <c r="C38" i="77" s="1"/>
  <c r="C39" i="77" s="1"/>
  <c r="C40" i="77" s="1"/>
  <c r="C41" i="77" s="1"/>
  <c r="T16" i="7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2" i="21"/>
  <c r="D34" i="9"/>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T12" i="71" l="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12" i="1"/>
  <c r="AO9" i="1"/>
  <c r="AO10" i="1"/>
  <c r="C10" i="71" l="1"/>
  <c r="D11"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102" i="9" l="1"/>
  <c r="D21" i="9"/>
  <c r="D22" i="9"/>
  <c r="G19" i="9"/>
  <c r="G21" i="9" s="1"/>
  <c r="B3" i="77"/>
  <c r="B6" i="70"/>
  <c r="B2" i="70" s="1"/>
  <c r="B3" i="70" s="1"/>
  <c r="D9" i="71"/>
  <c r="C8" i="71"/>
  <c r="C42" i="40"/>
  <c r="C43" i="40"/>
  <c r="E47" i="40"/>
  <c r="F47" i="40" s="1"/>
  <c r="E46" i="40"/>
  <c r="F46" i="40" s="1"/>
  <c r="I47" i="40"/>
  <c r="J47" i="40" s="1"/>
  <c r="D20" i="9"/>
  <c r="D103" i="9" l="1"/>
  <c r="G20" i="9"/>
  <c r="C32" i="9" s="1"/>
  <c r="C35" i="9" s="1"/>
  <c r="C34" i="9" s="1"/>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118" i="9"/>
  <c r="D119" i="9" s="1"/>
  <c r="D5" i="52" s="1"/>
  <c r="B49" i="72" s="1"/>
  <c r="F118" i="9"/>
  <c r="G118" i="9" s="1"/>
  <c r="G4" i="52" s="1"/>
  <c r="B52" i="72" s="1"/>
  <c r="H118" i="9"/>
  <c r="H101" i="9" s="1"/>
  <c r="F4" i="52" l="1"/>
  <c r="B51" i="72" s="1"/>
  <c r="F119" i="9"/>
  <c r="F5" i="52" s="1"/>
  <c r="B53" i="72" s="1"/>
  <c r="M48" i="9"/>
  <c r="H107" i="9"/>
  <c r="D45" i="9"/>
  <c r="D5" i="53"/>
  <c r="I118" i="9"/>
  <c r="C104" i="9"/>
  <c r="D4" i="52"/>
  <c r="B47" i="72" s="1"/>
  <c r="H119" i="9"/>
  <c r="H5" i="52" s="1"/>
  <c r="H4" i="52"/>
  <c r="D6" i="53" l="1"/>
  <c r="B22" i="72" s="1"/>
  <c r="B20" i="72"/>
  <c r="C72" i="9"/>
  <c r="C85" i="9"/>
  <c r="C64" i="9"/>
  <c r="C63" i="9" s="1"/>
  <c r="C67" i="9" s="1"/>
  <c r="D52" i="9"/>
  <c r="C78" i="9"/>
  <c r="C73" i="9" s="1"/>
  <c r="C93" i="9"/>
  <c r="C86" i="9" s="1"/>
  <c r="D53" i="9"/>
  <c r="D55" i="9"/>
  <c r="M53" i="9" s="1"/>
  <c r="M49" i="9"/>
  <c r="D13" i="53"/>
  <c r="D122" i="9"/>
  <c r="I4" i="52"/>
  <c r="H102" i="9"/>
  <c r="C105" i="9"/>
  <c r="E118" i="9"/>
  <c r="E4" i="52" s="1"/>
  <c r="B48" i="72" s="1"/>
  <c r="D123" i="9" l="1"/>
  <c r="D9" i="52" s="1"/>
  <c r="D8" i="52"/>
  <c r="D59" i="9"/>
  <c r="M55" i="9" s="1"/>
  <c r="C68" i="9"/>
  <c r="D54" i="9" s="1"/>
  <c r="C5" i="74"/>
  <c r="D7" i="53"/>
  <c r="B21" i="72" s="1"/>
  <c r="H108" i="9"/>
  <c r="C95" i="9"/>
  <c r="D14" i="53"/>
  <c r="B32" i="72" s="1"/>
  <c r="B30" i="72"/>
  <c r="L65" i="9"/>
  <c r="M65" i="9" s="1"/>
  <c r="L68" i="9"/>
  <c r="M68" i="9" s="1"/>
  <c r="L67" i="9"/>
  <c r="M67" i="9" s="1"/>
  <c r="L64" i="9"/>
  <c r="M64" i="9" s="1"/>
  <c r="L66" i="9"/>
  <c r="M66" i="9" s="1"/>
  <c r="L63" i="9"/>
  <c r="M63" i="9" s="1"/>
  <c r="C79" i="9"/>
  <c r="M69" i="9" l="1"/>
  <c r="N69" i="9" s="1"/>
  <c r="C96" i="9"/>
  <c r="E96" i="9" s="1"/>
  <c r="E97" i="9" s="1"/>
  <c r="D15" i="53"/>
  <c r="B31" i="72" s="1"/>
  <c r="C6" i="74"/>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S7" authorId="0" shapeId="0" xr:uid="{0D915AC2-6D05-44E0-86E9-1DDDFE846A54}">
      <text>
        <r>
          <rPr>
            <b/>
            <sz val="9"/>
            <rFont val="宋体"/>
            <family val="3"/>
            <charset val="134"/>
          </rPr>
          <t>pc:</t>
        </r>
        <r>
          <rPr>
            <sz val="9"/>
            <rFont val="宋体"/>
            <family val="3"/>
            <charset val="134"/>
          </rPr>
          <t xml:space="preserve">
下月2号出数据</t>
        </r>
      </text>
    </comment>
    <comment ref="T7" authorId="0" shapeId="0" xr:uid="{042F921A-6348-4204-B54A-FBDE07A0DF64}">
      <text>
        <r>
          <rPr>
            <b/>
            <sz val="9"/>
            <rFont val="宋体"/>
            <family val="3"/>
            <charset val="134"/>
          </rPr>
          <t>pc:</t>
        </r>
        <r>
          <rPr>
            <sz val="9"/>
            <rFont val="宋体"/>
            <family val="3"/>
            <charset val="134"/>
          </rPr>
          <t xml:space="preserve">
下月2号出数据</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<sst xmlns="http://schemas.openxmlformats.org/spreadsheetml/2006/main" count="8193" uniqueCount="3596">
  <si>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</si>
  <si>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</si>
  <si>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</si>
  <si>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</si>
  <si>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</si>
  <si>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</si>
  <si>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</si>
  <si>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</si>
  <si>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</si>
  <si>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</si>
  <si>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</si>
  <si>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</si>
  <si>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</si>
  <si>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</si>
  <si>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</si>
  <si>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</si>
  <si>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</si>
  <si>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</si>
  <si>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</si>
  <si>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</si>
  <si>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</si>
  <si>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</si>
  <si>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</si>
  <si>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</si>
  <si>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</si>
  <si>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</si>
  <si>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</si>
  <si>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</si>
  <si>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</si>
  <si>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</si>
  <si>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</si>
  <si>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</si>
  <si>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</si>
  <si>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</si>
  <si>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</si>
  <si>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</si>
  <si>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</si>
  <si>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</si>
  <si>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</si>
  <si>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</si>
  <si>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</si>
  <si>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</si>
  <si>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</si>
  <si>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</si>
  <si>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</si>
  <si>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</si>
  <si>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</si>
  <si>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</si>
  <si>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</si>
  <si>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</si>
  <si>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</si>
  <si>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</si>
  <si>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</si>
  <si>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</si>
  <si>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</si>
  <si>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</si>
  <si>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</si>
  <si>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</si>
  <si>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</si>
  <si>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</si>
  <si>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</si>
  <si>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</si>
  <si>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</si>
  <si>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</si>
  <si>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</si>
  <si>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</si>
  <si>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</si>
  <si>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</si>
  <si>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</si>
  <si>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</si>
  <si>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</si>
  <si>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</si>
  <si>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</si>
  <si>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</si>
  <si>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</si>
  <si>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</si>
  <si>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</si>
  <si>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</si>
  <si>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</si>
  <si>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</si>
  <si>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</si>
  <si>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</si>
  <si>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</si>
  <si>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</si>
  <si>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</si>
  <si>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</si>
  <si>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</si>
  <si>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</si>
  <si>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</si>
  <si>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</si>
  <si>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</si>
  <si>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</si>
  <si>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</si>
  <si>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</si>
  <si>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</si>
  <si>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</si>
  <si>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</si>
  <si>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</si>
  <si>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</si>
  <si>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</si>
  <si>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</si>
  <si>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</si>
  <si>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</si>
  <si>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</si>
  <si>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</si>
  <si>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</si>
  <si>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</si>
  <si>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</si>
  <si>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</si>
  <si>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</si>
  <si>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</si>
  <si>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</si>
  <si>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</si>
  <si>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</si>
  <si>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</si>
  <si>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</si>
  <si>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</si>
  <si>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</si>
  <si>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</si>
  <si>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</si>
  <si>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</si>
  <si>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</si>
  <si>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</si>
  <si>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</si>
  <si>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</si>
  <si>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</si>
  <si>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</si>
  <si>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</si>
  <si>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</si>
  <si>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</si>
  <si>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</si>
  <si>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</si>
  <si>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</si>
  <si>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</si>
  <si>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</si>
  <si>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</si>
  <si>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</si>
  <si>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</si>
  <si>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</si>
  <si>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</si>
  <si>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</si>
  <si>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</si>
  <si>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</si>
  <si>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</si>
  <si>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</si>
  <si>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</si>
  <si>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</si>
  <si>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</si>
  <si>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</si>
  <si>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</si>
  <si>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</si>
  <si>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</si>
  <si>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</si>
  <si>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</si>
  <si>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</si>
  <si>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</si>
  <si>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</si>
  <si>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</si>
  <si>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</si>
  <si>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</si>
  <si>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</si>
  <si>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</si>
  <si>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</si>
  <si>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</si>
  <si>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</si>
  <si>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</si>
  <si>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</si>
  <si>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</si>
  <si>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</si>
  <si>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</si>
  <si>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</si>
  <si>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</si>
  <si>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</si>
  <si>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</si>
  <si>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</si>
  <si>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</si>
  <si>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</si>
  <si>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</si>
  <si>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</si>
  <si>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</si>
  <si>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</si>
  <si>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</si>
  <si>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</si>
  <si>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</si>
  <si>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</si>
  <si>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</si>
  <si>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</si>
  <si>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</si>
  <si>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</si>
  <si>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</si>
  <si>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</si>
  <si>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</si>
  <si>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</si>
  <si>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</si>
  <si>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</si>
  <si>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</si>
  <si>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</si>
  <si>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</si>
  <si>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</si>
  <si>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</si>
  <si>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</si>
  <si>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</si>
  <si>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</si>
  <si>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</si>
  <si>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</si>
  <si>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</si>
  <si>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</si>
  <si>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</si>
  <si>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</si>
  <si>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</si>
  <si>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</si>
  <si>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</si>
  <si>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</si>
  <si>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</si>
  <si>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</si>
  <si>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</si>
  <si>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</si>
  <si>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</si>
  <si>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</si>
  <si>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</si>
  <si>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</si>
  <si>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</si>
  <si>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</si>
  <si>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</si>
  <si>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</si>
  <si>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</si>
  <si>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</si>
  <si>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</si>
  <si>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</si>
  <si>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</si>
  <si>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</si>
  <si>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</si>
  <si>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</si>
  <si>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</si>
  <si>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</si>
  <si>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</si>
  <si>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</si>
  <si>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</si>
  <si>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</si>
  <si>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</si>
  <si>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</si>
  <si>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</si>
  <si>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</si>
  <si>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</si>
  <si>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</si>
  <si>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</si>
  <si>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</si>
  <si>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</si>
  <si>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</si>
  <si>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</si>
  <si>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</si>
  <si>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</si>
  <si>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</si>
  <si>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</si>
  <si>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</si>
  <si>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</si>
  <si>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</si>
  <si>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</si>
  <si>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</si>
  <si>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</si>
  <si>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</si>
  <si>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</si>
  <si>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</si>
  <si>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</si>
  <si>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</si>
  <si>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</si>
  <si>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</si>
  <si>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</si>
  <si>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</si>
  <si>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</si>
  <si>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</si>
  <si>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</si>
  <si>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</si>
  <si>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</si>
  <si>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</si>
  <si>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</si>
  <si>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</si>
  <si>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</si>
  <si>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</si>
  <si>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</si>
  <si>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</si>
  <si>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</si>
  <si>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</si>
  <si>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</si>
  <si>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</si>
  <si>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</si>
  <si>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</si>
  <si>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</si>
  <si>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</si>
  <si>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</si>
  <si>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</si>
  <si>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</si>
  <si>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</si>
  <si>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</si>
  <si>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</si>
  <si>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</si>
  <si>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</si>
  <si>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</si>
  <si>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</si>
  <si>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</si>
  <si>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</si>
  <si>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</si>
  <si>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</si>
  <si>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</si>
  <si>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</si>
  <si>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</si>
  <si>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</si>
  <si>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</si>
  <si>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</si>
  <si>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</si>
  <si>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</si>
  <si>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</si>
  <si>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</si>
  <si>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</si>
  <si>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</si>
  <si>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</si>
  <si>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</si>
  <si>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</si>
  <si>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</si>
  <si>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</si>
  <si>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</si>
  <si>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</si>
  <si>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</si>
  <si>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</si>
  <si>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</si>
  <si>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</si>
  <si>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</si>
  <si>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</si>
  <si>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</si>
  <si>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</si>
  <si>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</si>
  <si>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</si>
  <si>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</si>
  <si>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</si>
  <si>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</si>
  <si>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</si>
  <si>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</si>
  <si>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</si>
  <si>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</si>
  <si>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</si>
  <si>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</si>
  <si>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</si>
  <si>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</si>
  <si>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</si>
  <si>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</si>
  <si>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</si>
  <si>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</si>
  <si>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</si>
  <si>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</si>
  <si>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</si>
  <si>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</si>
  <si>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</si>
  <si>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</si>
  <si>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</si>
  <si>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</si>
  <si>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</si>
  <si>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</si>
  <si>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</si>
  <si>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</si>
  <si>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</si>
  <si>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</si>
  <si>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</si>
  <si>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</si>
  <si>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</si>
  <si>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</si>
  <si>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</si>
  <si>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</si>
  <si>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</si>
  <si>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</si>
  <si>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</si>
  <si>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</si>
  <si>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</si>
  <si>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</si>
  <si>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</si>
  <si>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</si>
  <si>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</si>
  <si>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</si>
  <si>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</si>
  <si>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</si>
  <si>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</si>
  <si>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</si>
  <si>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</si>
  <si>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</si>
  <si>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</si>
  <si>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</si>
  <si>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</si>
  <si>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</si>
  <si>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</si>
  <si>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</si>
  <si>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</si>
  <si>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</si>
  <si>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</si>
  <si>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</si>
  <si>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</si>
  <si>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</si>
  <si>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</si>
  <si>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</si>
  <si>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</si>
  <si>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</si>
  <si>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</si>
  <si>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</si>
  <si>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</si>
  <si>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</si>
  <si>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</si>
  <si>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</si>
  <si>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</si>
  <si>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</si>
  <si>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</si>
  <si>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</si>
  <si>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</si>
  <si>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</si>
  <si>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</si>
  <si>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</si>
  <si>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</si>
  <si>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</si>
  <si>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</si>
  <si>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</si>
  <si>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</si>
  <si>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</si>
  <si>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</si>
  <si>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</si>
  <si>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</si>
  <si>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</si>
  <si>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</si>
  <si>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</si>
  <si>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</si>
  <si>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</si>
  <si>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</si>
  <si>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</si>
  <si>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</si>
  <si>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</si>
  <si>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</si>
  <si>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</si>
  <si>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</si>
  <si>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</si>
  <si>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</si>
  <si>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</si>
  <si>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</si>
  <si>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</si>
  <si>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</si>
  <si>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</si>
  <si>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</si>
  <si>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</si>
  <si>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</si>
  <si>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</si>
  <si>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</si>
  <si>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</si>
  <si>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</si>
  <si>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</si>
  <si>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</si>
  <si>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</si>
  <si>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</si>
  <si>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</si>
  <si>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</si>
  <si>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</si>
  <si>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</si>
  <si>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</si>
  <si>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</si>
  <si>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</si>
  <si>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</si>
  <si>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</si>
  <si>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</si>
  <si>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</si>
  <si>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</si>
  <si>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</si>
  <si>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</si>
  <si>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</si>
  <si>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</si>
  <si>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</si>
  <si>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</si>
  <si>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</si>
  <si>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</si>
  <si>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</si>
  <si>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</si>
  <si>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</si>
  <si>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</si>
  <si>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</si>
  <si>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</si>
  <si>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</si>
  <si>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</si>
  <si>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</si>
  <si>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</si>
  <si>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</si>
  <si>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</si>
  <si>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</si>
  <si>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</si>
  <si>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</si>
  <si>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</si>
  <si>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</si>
  <si>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</si>
  <si>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</si>
  <si>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</si>
  <si>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</si>
  <si>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</si>
  <si>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</si>
  <si>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</si>
  <si>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</si>
  <si>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</si>
  <si>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</si>
  <si>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</si>
  <si>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</si>
  <si>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</si>
  <si>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</si>
  <si>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</si>
  <si>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</si>
  <si>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</si>
  <si>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</si>
  <si>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</si>
  <si>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</si>
  <si>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</si>
  <si>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</si>
  <si>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</si>
  <si>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</si>
  <si>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</si>
  <si>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</si>
  <si>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</si>
  <si>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</si>
  <si>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</si>
  <si>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</si>
  <si>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</si>
  <si>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</si>
  <si>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</si>
  <si>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</si>
  <si>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</si>
  <si>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</si>
  <si>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</si>
  <si>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</si>
  <si>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</si>
  <si>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</si>
  <si>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</si>
  <si>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</si>
  <si>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</si>
  <si>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</si>
  <si>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</si>
  <si>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</si>
  <si>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</si>
  <si>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</si>
  <si>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</si>
  <si>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</si>
  <si>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</si>
  <si>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</si>
  <si>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</si>
  <si>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</si>
  <si>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</si>
  <si>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</si>
  <si>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</si>
  <si>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</si>
  <si>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</si>
  <si>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</si>
  <si>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</si>
  <si>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</si>
  <si>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</si>
  <si>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</si>
  <si>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</si>
  <si>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</si>
  <si>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</si>
  <si>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</si>
  <si>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</si>
  <si>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</si>
  <si>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</si>
  <si>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</si>
  <si>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</si>
  <si>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</si>
  <si>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</si>
  <si>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</si>
  <si>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</si>
  <si>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</si>
  <si>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</si>
  <si>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</si>
  <si>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</si>
  <si>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</si>
  <si>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</si>
  <si>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</si>
  <si>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</si>
  <si>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</si>
  <si>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</si>
  <si>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</si>
  <si>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</si>
  <si>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</si>
  <si>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</si>
  <si>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</si>
  <si>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</si>
  <si>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</si>
  <si>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</si>
  <si>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</si>
  <si>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</si>
  <si>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</si>
  <si>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</si>
  <si>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</si>
  <si>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</si>
  <si>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</si>
  <si>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</si>
  <si>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</si>
  <si>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</si>
  <si>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</si>
  <si>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</si>
  <si>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</si>
  <si>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</si>
  <si>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</si>
  <si>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</si>
  <si>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</si>
  <si>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</si>
  <si>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</si>
  <si>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</si>
  <si>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</si>
  <si>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</si>
  <si>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</si>
  <si>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</si>
  <si>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</si>
  <si>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</si>
  <si>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</si>
  <si>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</si>
  <si>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</si>
  <si>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</si>
  <si>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</si>
  <si>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</si>
  <si>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</si>
  <si>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</si>
  <si>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</si>
  <si>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</si>
  <si>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</si>
  <si>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</si>
  <si>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</si>
  <si>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</si>
  <si>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</si>
  <si>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</si>
  <si>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</si>
  <si>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</si>
  <si>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</si>
  <si>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</si>
  <si>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</si>
  <si>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</si>
  <si>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</si>
  <si>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</si>
  <si>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</si>
  <si>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</si>
  <si>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</si>
  <si>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</si>
  <si>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</si>
  <si>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</si>
  <si>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</si>
  <si>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</si>
  <si>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</si>
  <si>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</si>
  <si>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</si>
  <si>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</si>
  <si>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</si>
  <si>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</si>
  <si>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</si>
  <si>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</si>
  <si>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</si>
  <si>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</si>
  <si>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</si>
  <si>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</si>
  <si>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</si>
  <si>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</si>
  <si>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</si>
  <si>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</si>
  <si>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</si>
  <si>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</si>
  <si>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</si>
  <si>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</si>
  <si>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</si>
  <si>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</si>
  <si>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</si>
  <si>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</si>
  <si>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</si>
  <si>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</si>
  <si>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</si>
  <si>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</si>
  <si>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</si>
  <si>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</si>
  <si>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</si>
  <si>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</si>
  <si>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</si>
  <si>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</si>
  <si>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</si>
  <si>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</si>
  <si>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</si>
  <si>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</si>
  <si>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</si>
  <si>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</si>
  <si>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</si>
  <si>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</si>
  <si>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</si>
  <si>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</si>
  <si>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</si>
  <si>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</si>
  <si>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</si>
  <si>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</si>
  <si>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</si>
  <si>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</si>
  <si>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</si>
  <si>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</si>
  <si>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</si>
  <si>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</si>
  <si>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</si>
  <si>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</si>
  <si>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</si>
  <si>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</si>
  <si>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</si>
  <si>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</si>
  <si>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</si>
  <si>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</si>
  <si>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</si>
  <si>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</si>
  <si>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</si>
  <si>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</si>
  <si>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</si>
  <si>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</si>
  <si>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</si>
  <si>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</si>
  <si>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</si>
  <si>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</si>
  <si>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</si>
  <si>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</si>
  <si>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</si>
  <si>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</si>
  <si>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</si>
  <si>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</si>
  <si>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</si>
  <si>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</si>
  <si>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</si>
  <si>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</si>
  <si>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</si>
  <si>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</si>
  <si>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</si>
  <si>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</si>
  <si>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</si>
  <si>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</si>
  <si>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</si>
  <si>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</si>
  <si>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</si>
  <si>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</si>
  <si>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</si>
  <si>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</si>
  <si>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</si>
  <si>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</si>
  <si>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</si>
  <si>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</si>
  <si>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</si>
  <si>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</si>
  <si>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</si>
  <si>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</si>
  <si>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</si>
  <si>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</si>
  <si>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</si>
  <si>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</si>
  <si>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</si>
  <si>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</si>
  <si>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</si>
  <si>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</si>
  <si>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</si>
  <si>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</si>
  <si>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</si>
  <si>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</si>
  <si>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</si>
  <si>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</si>
  <si>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</si>
  <si>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</si>
  <si>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</si>
  <si>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</si>
  <si>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</si>
  <si>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</si>
  <si>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</si>
  <si>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</si>
  <si>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</si>
  <si>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</si>
  <si>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</si>
  <si>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</si>
  <si>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</si>
  <si>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</si>
  <si>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</si>
  <si>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</si>
  <si>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</si>
  <si>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</si>
  <si>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</si>
  <si>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</si>
  <si>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</si>
  <si>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</si>
  <si>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</si>
  <si>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</si>
  <si>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</si>
  <si>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</si>
  <si>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</si>
  <si>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</si>
  <si>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</si>
  <si>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</si>
  <si>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</si>
  <si>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</si>
  <si>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</si>
  <si>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</si>
  <si>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</si>
  <si>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</si>
  <si>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</si>
  <si>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</si>
  <si>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</si>
  <si>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</si>
  <si>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</si>
  <si>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</si>
  <si>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</si>
  <si>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</si>
  <si>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</si>
  <si>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</si>
  <si>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</si>
  <si>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</si>
  <si>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</si>
  <si>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</si>
  <si>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</si>
  <si>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</si>
  <si>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</si>
  <si>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</si>
  <si>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</si>
  <si>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</si>
  <si>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</si>
  <si>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</si>
  <si>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</si>
  <si>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</si>
  <si>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</si>
  <si>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</si>
  <si>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</si>
  <si>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</si>
  <si>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</si>
  <si>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</si>
  <si>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</si>
  <si>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</si>
  <si>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</si>
  <si>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</si>
  <si>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</si>
  <si>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</si>
  <si>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</si>
  <si>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</si>
  <si>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</si>
  <si>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</si>
  <si>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</si>
  <si>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</si>
  <si>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</si>
  <si>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</si>
  <si>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</si>
  <si>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</si>
  <si>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</si>
  <si>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</si>
  <si>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</si>
  <si>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</si>
  <si>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</si>
  <si>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</si>
  <si>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</si>
  <si>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</si>
  <si>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</si>
  <si>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</si>
  <si>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</si>
  <si>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</si>
  <si>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</si>
  <si>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</si>
  <si>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</si>
  <si>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</si>
  <si>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</si>
  <si>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</si>
  <si>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</si>
  <si>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</si>
  <si>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</si>
  <si>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</si>
  <si>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</si>
  <si>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</si>
  <si>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</si>
  <si>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</si>
  <si>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</si>
  <si>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</si>
  <si>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</si>
  <si>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</si>
  <si>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</si>
  <si>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</si>
  <si>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</si>
  <si>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</si>
  <si>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</si>
  <si>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</si>
  <si>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</si>
  <si>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</si>
  <si>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</si>
  <si>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</si>
  <si>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</si>
  <si>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</si>
  <si>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</si>
  <si>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</si>
  <si>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</si>
  <si>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</si>
  <si>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</si>
  <si>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</si>
  <si>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</si>
  <si>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</si>
  <si>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</si>
  <si>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</si>
  <si>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</si>
  <si>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</si>
  <si>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</si>
  <si>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</si>
  <si>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</si>
  <si>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</si>
  <si>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</si>
  <si>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</si>
  <si>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</si>
  <si>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</si>
  <si>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</si>
  <si>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</si>
  <si>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</si>
  <si>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</si>
  <si>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</si>
  <si>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</si>
  <si>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</si>
  <si>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</si>
  <si>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</si>
  <si>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</si>
  <si>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</si>
  <si>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</si>
  <si>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</si>
  <si>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</si>
  <si>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</si>
  <si>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</si>
  <si>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</si>
  <si>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</si>
  <si>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</si>
  <si>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</si>
  <si>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</si>
  <si>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</si>
  <si>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</si>
  <si>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</si>
  <si>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</si>
  <si>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</si>
  <si>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</si>
  <si>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</si>
  <si>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</si>
  <si>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</si>
  <si>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</si>
  <si>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</si>
  <si>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</si>
  <si>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</si>
  <si>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</si>
  <si>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</si>
  <si>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</si>
  <si>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</si>
  <si>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</si>
  <si>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</si>
  <si>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</si>
  <si>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</si>
  <si>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</si>
  <si>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</si>
  <si>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</si>
  <si>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</si>
  <si>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</si>
  <si>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</si>
  <si>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</si>
  <si>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</si>
  <si>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</si>
  <si>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</si>
  <si>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</si>
  <si>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</si>
  <si>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</si>
  <si>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</si>
  <si>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</si>
  <si>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</si>
  <si>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</si>
  <si>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</si>
  <si>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</si>
  <si>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</si>
  <si>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</si>
  <si>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</si>
  <si>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</si>
  <si>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</si>
  <si>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</si>
  <si>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</si>
  <si>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</si>
  <si>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</si>
  <si>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</si>
  <si>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</si>
  <si>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</si>
  <si>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</si>
  <si>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</si>
  <si>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</si>
  <si>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</si>
  <si>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</si>
  <si>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</si>
  <si>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</si>
  <si>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</si>
  <si>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</si>
  <si>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</si>
  <si>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</si>
  <si>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</si>
  <si>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</si>
  <si>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</si>
  <si>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</si>
  <si>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</si>
  <si>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</si>
  <si>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</si>
  <si>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</si>
  <si>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</si>
  <si>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</si>
  <si>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</si>
  <si>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</si>
  <si>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</si>
  <si>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</si>
  <si>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</si>
  <si>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</si>
  <si>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</si>
  <si>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</si>
  <si>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</si>
  <si>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</si>
  <si>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</si>
  <si>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</si>
  <si>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</si>
  <si>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</si>
  <si>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</si>
  <si>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</si>
  <si>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</si>
  <si>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</si>
  <si>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</si>
  <si>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</si>
  <si>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</si>
  <si>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</si>
  <si>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</si>
  <si>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</si>
  <si>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</si>
  <si>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</si>
  <si>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</si>
  <si>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</si>
  <si>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</si>
  <si>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</si>
  <si>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</si>
  <si>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</si>
  <si>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</si>
  <si>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</si>
  <si>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</si>
  <si>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</si>
  <si>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</si>
  <si>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</si>
  <si>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</si>
  <si>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</si>
  <si>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</si>
  <si>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</si>
  <si>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</si>
  <si>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</si>
  <si>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</si>
  <si>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</si>
  <si>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</si>
  <si>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</si>
  <si>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</si>
  <si>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</si>
  <si>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</si>
  <si>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</si>
  <si>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</si>
  <si>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</si>
  <si>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</si>
  <si>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</si>
  <si>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</si>
  <si>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</si>
  <si>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</si>
  <si>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</si>
  <si>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</si>
  <si>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</si>
  <si>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</si>
  <si>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</si>
  <si>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</si>
  <si>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</si>
  <si>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</si>
  <si>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</si>
  <si>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</si>
  <si>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</si>
  <si>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</si>
  <si>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</si>
  <si>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</si>
  <si>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</si>
  <si>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</si>
  <si>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</si>
  <si>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</si>
  <si>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</si>
  <si>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</si>
  <si>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</si>
  <si>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</si>
  <si>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</si>
  <si>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</si>
  <si>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</si>
  <si>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</si>
  <si>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</si>
  <si>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</si>
  <si>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</si>
  <si>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</si>
  <si>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</si>
  <si>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</si>
  <si>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</si>
  <si>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</si>
  <si>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</si>
  <si>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</si>
  <si>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</si>
  <si>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</si>
  <si>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</si>
  <si>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</si>
  <si>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</si>
  <si>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</si>
  <si>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</si>
  <si>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</si>
  <si>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</si>
  <si>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</si>
  <si>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</si>
  <si>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</si>
  <si>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</si>
  <si>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</si>
  <si>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</si>
  <si>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</si>
  <si>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</si>
  <si>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</si>
  <si>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</si>
  <si>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</si>
  <si>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</si>
  <si>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</si>
  <si>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</si>
  <si>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</si>
  <si>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</si>
  <si>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</si>
  <si>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</si>
  <si>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</si>
  <si>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</si>
  <si>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</si>
  <si>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</si>
  <si>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</si>
  <si>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</si>
  <si>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</si>
  <si>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</si>
  <si>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</si>
  <si>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</si>
  <si>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</si>
  <si>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</si>
  <si>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</si>
  <si>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</si>
  <si>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</si>
  <si>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</si>
  <si>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</si>
  <si>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</si>
  <si>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</si>
  <si>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</si>
  <si>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</si>
  <si>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</si>
  <si>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</si>
  <si>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</si>
  <si>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</si>
  <si>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</si>
  <si>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</si>
  <si>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</si>
  <si>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</si>
  <si>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</si>
  <si>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</si>
  <si>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</si>
  <si>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</si>
  <si>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</si>
  <si>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</si>
  <si>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</si>
  <si>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</si>
  <si>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</si>
  <si>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</si>
  <si>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</si>
  <si>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</si>
  <si>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</si>
  <si>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</si>
  <si>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</si>
  <si>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</si>
  <si>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</si>
  <si>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</si>
  <si>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</si>
  <si>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</si>
  <si>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</si>
  <si>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</si>
  <si>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</si>
  <si>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</si>
  <si>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</si>
  <si>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</si>
  <si>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</si>
  <si>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</si>
  <si>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</si>
  <si>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</si>
  <si>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</si>
  <si>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</si>
  <si>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</si>
  <si>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</si>
  <si>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</si>
  <si>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</si>
  <si>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</si>
  <si>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</si>
  <si>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</si>
  <si>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</si>
  <si>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</si>
  <si>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</si>
  <si>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</si>
  <si>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</si>
  <si>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</si>
  <si>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</si>
  <si>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</si>
  <si>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</si>
  <si>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</si>
  <si>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</si>
  <si>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</si>
  <si>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</si>
  <si>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</si>
  <si>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</si>
  <si>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</si>
  <si>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</si>
  <si>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</si>
  <si>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</si>
  <si>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</si>
  <si>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</si>
  <si>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</si>
  <si>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</si>
  <si>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</si>
  <si>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</si>
  <si>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</si>
  <si>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</si>
  <si>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</si>
  <si>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</si>
  <si>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</si>
  <si>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</si>
  <si>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</si>
  <si>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</si>
  <si>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</si>
  <si>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</si>
  <si>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</si>
  <si>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</si>
  <si>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</si>
  <si>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</si>
  <si>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</si>
  <si>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</si>
  <si>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</si>
  <si>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</si>
  <si>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</si>
  <si>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</si>
  <si>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</si>
  <si>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</si>
  <si>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</si>
  <si>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</si>
  <si>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</si>
  <si>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</si>
  <si>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</si>
  <si>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</si>
  <si>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</si>
  <si>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</si>
  <si>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</si>
  <si>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</si>
  <si>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</si>
  <si>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</si>
  <si>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</si>
  <si>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</si>
  <si>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</si>
  <si>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</si>
  <si>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</si>
  <si>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</si>
  <si>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</si>
  <si>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</si>
  <si>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</si>
  <si>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</si>
  <si>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</si>
  <si>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</si>
  <si>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</si>
  <si>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</si>
  <si>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</si>
  <si>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</si>
  <si>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</si>
  <si>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</si>
  <si>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</si>
  <si>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</si>
  <si>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</si>
  <si>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</si>
  <si>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</si>
  <si>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</si>
  <si>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</si>
  <si>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</si>
  <si>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</si>
  <si>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</si>
  <si>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</si>
  <si>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</si>
  <si>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</si>
  <si>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</si>
  <si>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</si>
  <si>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</si>
  <si>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</si>
  <si>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</si>
  <si>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</si>
  <si>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</si>
  <si>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</si>
  <si>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</si>
  <si>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</si>
  <si>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</si>
  <si>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</si>
  <si>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</si>
  <si>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</si>
  <si>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</si>
  <si>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</si>
  <si>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</si>
  <si>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</si>
  <si>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</si>
  <si>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</si>
  <si>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</si>
  <si>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</si>
  <si>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</si>
  <si>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</si>
  <si>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</si>
  <si>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</si>
  <si>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</si>
  <si>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</si>
  <si>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</si>
  <si>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</si>
  <si>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</si>
  <si>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</si>
  <si>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</si>
  <si>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</si>
  <si>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</si>
  <si>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</si>
  <si>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</si>
  <si>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</si>
  <si>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</si>
  <si>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</si>
  <si>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</si>
  <si>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</si>
  <si>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</si>
  <si>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</si>
  <si>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</si>
  <si>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</si>
  <si>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</si>
  <si>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</si>
  <si>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</si>
  <si>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</si>
  <si>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</si>
  <si>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</si>
  <si>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</si>
  <si>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</si>
  <si>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</si>
  <si>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</si>
  <si>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</si>
  <si>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</si>
  <si>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</si>
  <si>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</si>
  <si>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</si>
  <si>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</si>
  <si>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</si>
  <si>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</si>
  <si>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</si>
  <si>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</si>
  <si>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</si>
  <si>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</si>
  <si>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</si>
  <si>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</si>
  <si>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</si>
  <si>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</si>
  <si>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</si>
  <si>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</si>
  <si>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</si>
  <si>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</si>
  <si>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</si>
  <si>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</si>
  <si>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</si>
  <si>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</si>
  <si>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</si>
  <si>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</si>
  <si>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</si>
  <si>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</si>
  <si>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</si>
  <si>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</si>
  <si>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</si>
  <si>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</si>
  <si>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</si>
  <si>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</si>
  <si>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</si>
  <si>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</si>
  <si>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</si>
  <si>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</si>
  <si>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</si>
  <si>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</si>
  <si>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</si>
  <si>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</si>
  <si>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</si>
  <si>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</si>
  <si>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</si>
  <si>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</si>
  <si>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</si>
  <si>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</si>
  <si>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</si>
  <si>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</si>
  <si>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</si>
  <si>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</si>
  <si>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</si>
  <si>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</si>
  <si>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</si>
  <si>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</si>
  <si>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</si>
  <si>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</si>
  <si>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</si>
  <si>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</si>
  <si>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</si>
  <si>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</si>
  <si>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</si>
  <si>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</si>
  <si>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</si>
  <si>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</si>
  <si>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</si>
  <si>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</si>
  <si>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</si>
  <si>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</si>
  <si>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</si>
  <si>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</si>
  <si>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</si>
  <si>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</si>
  <si>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</si>
  <si>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</si>
  <si>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</si>
  <si>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</si>
  <si>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</si>
  <si>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</si>
  <si>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</si>
  <si>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</si>
  <si>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</si>
  <si>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</si>
  <si>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</si>
  <si>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</si>
  <si>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</si>
  <si>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</si>
  <si>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</si>
  <si>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</si>
  <si>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</si>
  <si>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</si>
  <si>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</si>
  <si>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</si>
  <si>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</si>
  <si>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</si>
  <si>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</si>
  <si>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</si>
  <si>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</si>
  <si>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</si>
  <si>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</si>
  <si>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</si>
  <si>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</si>
  <si>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</si>
  <si>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</si>
  <si>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</si>
  <si>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</si>
  <si>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</si>
  <si>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</si>
  <si>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</si>
  <si>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</si>
  <si>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</si>
  <si>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</si>
  <si>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</si>
  <si>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</si>
  <si>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</si>
  <si>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</si>
  <si>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</si>
  <si>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</si>
  <si>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</si>
  <si>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</si>
  <si>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</si>
  <si>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</si>
  <si>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</si>
  <si>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</si>
  <si>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</si>
  <si>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</si>
  <si>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</si>
  <si>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</si>
  <si>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</si>
  <si>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</si>
  <si>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</si>
  <si>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</si>
  <si>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</si>
  <si>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</si>
  <si>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</si>
  <si>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</si>
  <si>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</si>
  <si>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</si>
  <si>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</si>
  <si>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</si>
  <si>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</si>
  <si>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</si>
  <si>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</si>
  <si>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</si>
  <si>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</si>
  <si>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</si>
  <si>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</si>
  <si>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</si>
  <si>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</si>
  <si>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</si>
  <si>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</si>
  <si>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</si>
  <si>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</si>
  <si>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</si>
  <si>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</si>
  <si>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</si>
  <si>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</si>
  <si>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</si>
  <si>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</si>
  <si>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</si>
  <si>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</si>
  <si>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</si>
  <si>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</si>
  <si>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</si>
  <si>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</si>
  <si>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</si>
  <si>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</si>
  <si>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</si>
  <si>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</si>
  <si>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</si>
  <si>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</si>
  <si>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</si>
  <si>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</si>
  <si>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</si>
  <si>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</si>
  <si>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</si>
  <si>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</si>
  <si>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</si>
  <si>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</si>
  <si>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</si>
  <si>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</si>
  <si>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</si>
  <si>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</si>
  <si>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</si>
  <si>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</si>
  <si>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</si>
  <si>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</si>
  <si>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</si>
  <si>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</si>
  <si>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</si>
  <si>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</si>
  <si>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</si>
  <si>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</si>
  <si>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</si>
  <si>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</si>
  <si>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</si>
  <si>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</si>
  <si>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</si>
  <si>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</si>
  <si>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</si>
  <si>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</si>
  <si>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</si>
  <si>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</si>
  <si>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</si>
  <si>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</si>
  <si>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</si>
  <si>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</si>
  <si>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</si>
  <si>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</si>
  <si>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</si>
  <si>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</si>
  <si>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</si>
  <si>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</si>
  <si>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</si>
  <si>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</si>
  <si>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</si>
  <si>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</si>
  <si>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</si>
  <si>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</si>
  <si>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</si>
  <si>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</si>
  <si>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</si>
  <si>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</si>
  <si>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</si>
  <si>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</si>
  <si>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</si>
  <si>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</si>
  <si>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</si>
  <si>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</si>
  <si>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</si>
  <si>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</si>
  <si>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</si>
  <si>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</si>
  <si>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</si>
  <si>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</si>
  <si>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</si>
  <si>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</si>
  <si>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</si>
  <si>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</si>
  <si>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</si>
  <si>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</si>
  <si>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</si>
  <si>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</si>
  <si>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</si>
  <si>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</si>
  <si>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</si>
  <si>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</si>
  <si>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</si>
  <si>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</si>
  <si>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</si>
  <si>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</si>
  <si>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</si>
  <si>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</si>
  <si>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</si>
  <si>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</si>
  <si>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</si>
  <si>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</si>
  <si>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</si>
  <si>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</si>
  <si>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</si>
  <si>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</si>
  <si>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</si>
  <si>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</si>
  <si>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</si>
  <si>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</si>
  <si>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</si>
  <si>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</si>
  <si>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</si>
  <si>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</si>
  <si>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</si>
  <si>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</si>
  <si>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</si>
  <si>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</si>
  <si>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</si>
  <si>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</si>
  <si>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</si>
  <si>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</si>
  <si>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</si>
  <si>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</si>
  <si>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</si>
  <si>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</si>
  <si>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</si>
  <si>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</si>
  <si>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</si>
  <si>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</si>
  <si>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</si>
  <si>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</si>
  <si>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</si>
  <si>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</si>
  <si>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</si>
  <si>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</si>
  <si>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</si>
  <si>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</si>
  <si>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</si>
  <si>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</si>
  <si>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</si>
  <si>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</si>
  <si>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</si>
  <si>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</si>
  <si>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</si>
  <si>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</si>
  <si>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</si>
  <si>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</si>
  <si>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</si>
  <si>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</si>
  <si>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</si>
  <si>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</si>
  <si>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</si>
  <si>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</si>
  <si>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</si>
  <si>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</si>
  <si>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</si>
  <si>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</si>
  <si>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</si>
  <si>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</si>
  <si>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</si>
  <si>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</si>
  <si>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</si>
  <si>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</si>
  <si>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</si>
  <si>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</si>
  <si>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</si>
  <si>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</si>
  <si>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</si>
  <si>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</si>
  <si>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</si>
  <si>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</si>
  <si>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</si>
  <si>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</si>
  <si>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</si>
  <si>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</si>
  <si>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</si>
  <si>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</si>
  <si>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</si>
  <si>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</si>
  <si>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</si>
  <si>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</si>
  <si>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</si>
  <si>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</si>
  <si>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</si>
  <si>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</si>
  <si>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</si>
  <si>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</si>
  <si>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</si>
  <si>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</si>
  <si>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</si>
  <si>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</si>
  <si>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</si>
  <si>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</si>
  <si>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</si>
  <si>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</si>
  <si>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</si>
  <si>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</si>
  <si>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</si>
  <si>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</si>
  <si>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</si>
  <si>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</si>
  <si>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</si>
  <si>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</si>
  <si>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</si>
  <si>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</si>
  <si>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</si>
  <si>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</si>
  <si>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</si>
  <si>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</si>
  <si>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</si>
  <si>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</si>
  <si>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</si>
  <si>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</si>
  <si>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</si>
  <si>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</si>
  <si>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</si>
  <si>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</si>
  <si>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</si>
  <si>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</si>
  <si>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</si>
  <si>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</si>
  <si>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</si>
  <si>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</si>
  <si>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</si>
  <si>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</si>
  <si>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</si>
  <si>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</si>
  <si>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</si>
  <si>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</si>
  <si>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</si>
  <si>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</si>
  <si>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</si>
  <si>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</si>
  <si>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</si>
  <si>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</si>
  <si>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</si>
  <si>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</si>
  <si>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</si>
  <si>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</si>
  <si>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</si>
  <si>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</si>
  <si>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</si>
  <si>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</si>
  <si>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</si>
  <si>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</si>
  <si>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</si>
  <si>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</si>
  <si>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</si>
  <si>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</si>
  <si>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</si>
  <si>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</si>
  <si>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</si>
  <si>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</si>
  <si>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</si>
  <si>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</si>
  <si>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</si>
  <si>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</si>
  <si>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</si>
  <si>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</si>
  <si>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</si>
  <si>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</si>
  <si>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</si>
  <si>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</si>
  <si>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</si>
  <si>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</si>
  <si>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</si>
  <si>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</si>
  <si>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</si>
  <si>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</si>
  <si>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</si>
  <si>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</si>
  <si>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</si>
  <si>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</si>
  <si>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</si>
  <si>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</si>
  <si>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</si>
  <si>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</si>
  <si>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</si>
  <si>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</si>
  <si>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</si>
  <si>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</si>
  <si>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</si>
  <si>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</si>
  <si>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</si>
  <si>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</si>
  <si>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</si>
  <si>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</si>
  <si>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</si>
  <si>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</si>
  <si>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</si>
  <si>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</si>
  <si>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</si>
  <si>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</si>
  <si>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</si>
  <si>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</si>
  <si>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</si>
  <si>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</si>
  <si>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</si>
  <si>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</si>
  <si>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</si>
  <si>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</si>
  <si>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</si>
  <si>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</si>
  <si>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</si>
  <si>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</si>
  <si>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</si>
  <si>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</si>
  <si>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</si>
  <si>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</si>
  <si>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</si>
  <si>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</si>
  <si>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</si>
  <si>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</si>
  <si>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</si>
  <si>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</si>
  <si>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</si>
  <si>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</si>
  <si>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</si>
  <si>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</si>
  <si>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</si>
  <si>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</si>
  <si>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</si>
  <si>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</si>
  <si>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</si>
  <si>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</si>
  <si>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</si>
  <si>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</si>
  <si>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</si>
  <si>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</si>
  <si>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</si>
  <si>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</si>
  <si>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</si>
  <si>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</si>
  <si>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</si>
  <si>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</si>
  <si>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</si>
  <si>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</si>
  <si>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</si>
  <si>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</si>
  <si>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</si>
  <si>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</si>
  <si>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</si>
  <si>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</si>
  <si>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</si>
  <si>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</si>
  <si>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</si>
  <si>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</si>
  <si>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</si>
  <si>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</si>
  <si>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</si>
  <si>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</si>
  <si>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</si>
  <si>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</si>
  <si>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</si>
  <si>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</si>
  <si>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</si>
  <si>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</si>
  <si>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</si>
  <si>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</si>
  <si>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</si>
  <si>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</si>
  <si>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</si>
  <si>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</si>
  <si>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</si>
  <si>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</si>
  <si>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</si>
  <si>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</si>
  <si>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</si>
  <si>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</si>
  <si>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</si>
  <si>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</si>
  <si>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</si>
  <si>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</si>
  <si>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</si>
  <si>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</si>
  <si>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</si>
  <si>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</si>
  <si>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</si>
  <si>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</si>
  <si>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</si>
  <si>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</si>
  <si>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</si>
  <si>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</si>
  <si>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</si>
  <si>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</si>
  <si>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</si>
  <si>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</si>
  <si>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</si>
  <si>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</si>
  <si>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</si>
  <si>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</si>
  <si>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</si>
  <si>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</si>
  <si>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</si>
  <si>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</si>
  <si>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</si>
  <si>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</si>
  <si>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</si>
  <si>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</si>
  <si>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</si>
  <si>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</si>
  <si>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</si>
  <si>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</si>
  <si>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</si>
  <si>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</si>
  <si>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</si>
  <si>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</si>
  <si>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</si>
  <si>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</si>
  <si>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</si>
  <si>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</si>
  <si>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</si>
  <si>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</si>
  <si>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</si>
  <si>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</si>
  <si>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</si>
  <si>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</si>
  <si>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</si>
  <si>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</si>
  <si>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</si>
  <si>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</si>
  <si>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</si>
  <si>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</si>
  <si>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</si>
  <si>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</si>
  <si>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</si>
  <si>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</si>
  <si>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</si>
  <si>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</si>
  <si>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</si>
  <si>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</si>
  <si>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</si>
  <si>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</si>
  <si>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</si>
  <si>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</si>
  <si>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</si>
  <si>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</si>
  <si>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</si>
  <si>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</si>
  <si>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</si>
  <si>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</si>
  <si>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</si>
  <si>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</si>
  <si>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</si>
  <si>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</si>
  <si>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</si>
  <si>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</si>
  <si>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</si>
  <si>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</si>
  <si>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</si>
  <si>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</si>
  <si>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</si>
  <si>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</si>
  <si>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</si>
  <si>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</si>
  <si>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</si>
  <si>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</si>
  <si>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</si>
  <si>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</si>
  <si>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</si>
  <si>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</si>
  <si>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</si>
  <si>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</si>
  <si>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</si>
  <si>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</si>
  <si>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</si>
  <si>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</si>
  <si>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</si>
  <si>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</si>
  <si>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</si>
  <si>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</si>
  <si>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</si>
  <si>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</si>
  <si>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</si>
  <si>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</si>
  <si>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</si>
  <si>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</si>
  <si>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</si>
  <si>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</si>
  <si>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</si>
  <si>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</si>
  <si>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</si>
  <si>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</si>
  <si>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</si>
  <si>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</si>
  <si>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</si>
  <si>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</si>
  <si>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</si>
  <si>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</si>
  <si>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</si>
  <si>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</si>
  <si>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</si>
  <si>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</si>
  <si>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</si>
  <si>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</si>
  <si>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</si>
  <si>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</si>
  <si>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</si>
  <si>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</si>
  <si>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</si>
  <si>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</si>
  <si>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</si>
  <si>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</si>
  <si>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</si>
  <si>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</si>
  <si>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</si>
  <si>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</si>
  <si>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</si>
  <si>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</si>
  <si>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</si>
  <si>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</si>
  <si>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</si>
  <si>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</si>
  <si>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</si>
  <si>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</si>
  <si>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</si>
  <si>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</si>
  <si>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</si>
  <si>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</si>
  <si>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</si>
  <si>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</si>
  <si>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</si>
  <si>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</si>
  <si>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</si>
  <si>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</si>
  <si>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</si>
  <si>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</si>
  <si>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</si>
  <si>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</si>
  <si>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</si>
  <si>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</si>
  <si>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</si>
  <si>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</si>
  <si>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</si>
  <si>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</si>
  <si>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</si>
  <si>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</si>
  <si>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</si>
  <si>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</si>
  <si>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</si>
  <si>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</si>
  <si>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</si>
  <si>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</si>
  <si>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</si>
  <si>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</si>
  <si>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</si>
  <si>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</si>
  <si>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</si>
  <si>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</si>
  <si>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</si>
  <si>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</si>
  <si>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</si>
  <si>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</si>
  <si>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</si>
  <si>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</si>
  <si>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</si>
  <si>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</si>
  <si>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</si>
  <si>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</si>
  <si>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</si>
  <si>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</si>
  <si>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</si>
  <si>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</si>
  <si>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</si>
  <si>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</si>
  <si>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</si>
  <si>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</si>
  <si>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</si>
  <si>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</si>
  <si>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</si>
  <si>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</si>
  <si>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</si>
  <si>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</si>
  <si>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</si>
  <si>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</si>
  <si>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</si>
  <si>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</si>
  <si>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</si>
  <si>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</si>
  <si>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</si>
  <si>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</si>
  <si>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</si>
  <si>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</si>
  <si>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</si>
  <si>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</si>
  <si>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</si>
  <si>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</si>
  <si>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</si>
  <si>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</si>
  <si>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</si>
  <si>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</si>
  <si>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</si>
  <si>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</si>
  <si>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</si>
  <si>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</si>
  <si>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</si>
  <si>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</si>
  <si>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</si>
  <si>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</si>
  <si>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</si>
  <si>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</si>
  <si>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</si>
  <si>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</si>
  <si>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</si>
  <si>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</si>
  <si>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</si>
  <si>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</si>
  <si>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</si>
  <si>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</si>
  <si>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</si>
  <si>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</si>
  <si>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</si>
  <si>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</si>
  <si>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</si>
  <si>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</si>
  <si>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</si>
  <si>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</si>
  <si>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</si>
  <si>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</si>
  <si>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</si>
  <si>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</si>
  <si>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</si>
  <si>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</si>
  <si>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</si>
  <si>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</si>
  <si>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</si>
  <si>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</si>
  <si>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</si>
  <si>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</si>
  <si>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</si>
  <si>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</si>
  <si>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</si>
  <si>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</si>
  <si>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</si>
  <si>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</si>
  <si>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</si>
  <si>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</si>
  <si>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</si>
  <si>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</si>
  <si>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</si>
  <si>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</si>
  <si>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</si>
  <si>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</si>
  <si>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</si>
  <si>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</si>
  <si>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</si>
  <si>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</si>
  <si>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</si>
  <si>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</si>
  <si>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</si>
  <si>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</si>
  <si>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</si>
  <si>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</si>
  <si>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</si>
  <si>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</si>
  <si>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</si>
  <si>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</si>
  <si>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</si>
  <si>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</si>
  <si>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</si>
  <si>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</si>
  <si>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</si>
  <si>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</si>
  <si>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</si>
  <si>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</si>
  <si>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</si>
  <si>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</si>
  <si>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</si>
  <si>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</si>
  <si>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</si>
  <si>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</si>
  <si>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</si>
  <si>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</si>
  <si>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</si>
  <si>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</si>
  <si>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</si>
  <si>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</si>
  <si>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</si>
  <si>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</si>
  <si>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</si>
  <si>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</si>
  <si>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</si>
  <si>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</si>
  <si>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</si>
  <si>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</si>
  <si>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</si>
  <si>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</si>
  <si>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</si>
  <si>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</si>
  <si>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</si>
  <si>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</si>
  <si>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</si>
  <si>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</si>
  <si>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</si>
  <si>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</si>
  <si>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</si>
  <si>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</si>
  <si>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</si>
  <si>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</si>
  <si>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</si>
  <si>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</si>
  <si>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</si>
  <si>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</si>
  <si>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</si>
  <si>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</si>
  <si>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</si>
  <si>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</si>
  <si>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</si>
  <si>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</si>
  <si>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</si>
  <si>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</si>
  <si>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</si>
  <si>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</si>
  <si>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</si>
  <si>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</si>
  <si>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</si>
  <si>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</si>
  <si>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</si>
  <si>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</si>
  <si>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</si>
  <si>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</si>
  <si>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</si>
  <si>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</si>
  <si>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</si>
  <si>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</si>
  <si>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</si>
  <si>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</si>
  <si>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</si>
  <si>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</si>
  <si>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</si>
  <si>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</si>
  <si>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</si>
  <si>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</si>
  <si>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</si>
  <si>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</si>
  <si>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</si>
  <si>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</si>
  <si>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</si>
  <si>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</si>
  <si>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</si>
  <si>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</si>
  <si>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</si>
  <si>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</si>
  <si>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</si>
  <si>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</si>
  <si>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</si>
  <si>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</si>
  <si>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</si>
  <si>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</si>
  <si>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</si>
  <si>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</si>
  <si>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</si>
  <si>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</si>
  <si>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</si>
  <si>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</si>
  <si>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</si>
  <si>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</si>
  <si>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</si>
  <si>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</si>
  <si>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</si>
  <si>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</si>
  <si>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</si>
  <si>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</si>
  <si>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</si>
  <si>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</si>
  <si>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</si>
  <si>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</si>
  <si>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</si>
  <si>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</si>
  <si>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</si>
  <si>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</si>
  <si>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</si>
  <si>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</si>
  <si>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</si>
  <si>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</si>
  <si>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</si>
  <si>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</si>
  <si>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</si>
  <si>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</si>
  <si>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</si>
  <si>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</si>
  <si>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</si>
  <si>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</si>
  <si>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</si>
  <si>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</si>
  <si>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</si>
  <si>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</si>
  <si>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</si>
  <si>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</si>
  <si>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</si>
  <si>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</si>
  <si>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</si>
  <si>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</si>
  <si>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</si>
  <si>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</si>
  <si>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</si>
  <si>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</si>
  <si>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</si>
  <si>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</si>
  <si>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</si>
  <si>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</si>
  <si>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</si>
  <si>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</si>
  <si>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</si>
  <si>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</si>
  <si>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</si>
  <si>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</si>
  <si>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</si>
  <si>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</si>
  <si>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</si>
  <si>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</si>
  <si>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</si>
  <si>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</si>
  <si>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</si>
  <si>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</si>
  <si>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</si>
  <si>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</si>
  <si>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</si>
  <si>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</si>
  <si>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</si>
  <si>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</si>
  <si>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</si>
  <si>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</si>
  <si>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</si>
  <si>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</si>
  <si>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</si>
  <si>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</si>
  <si>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</si>
  <si>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</si>
  <si>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</si>
  <si>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</si>
  <si>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</si>
  <si>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</si>
  <si>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</si>
  <si>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</si>
  <si>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</si>
  <si>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</si>
  <si>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</si>
  <si>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</si>
  <si>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</si>
  <si>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</si>
  <si>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</si>
  <si>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</si>
  <si>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</si>
  <si>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</si>
  <si>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</si>
  <si>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</si>
  <si>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</si>
  <si>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</si>
  <si>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</si>
  <si>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</si>
  <si>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</si>
  <si>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</si>
  <si>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</si>
  <si>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</si>
  <si>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</si>
  <si>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</si>
  <si>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</si>
  <si>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</si>
  <si>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</si>
  <si>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</si>
  <si>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</si>
  <si>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</si>
  <si>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</si>
  <si>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</si>
  <si>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</si>
  <si>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</si>
  <si>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</si>
  <si>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</si>
  <si>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</si>
  <si>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</si>
  <si>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</si>
  <si>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</si>
  <si>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</si>
  <si>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</si>
  <si>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</si>
  <si>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</si>
  <si>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</si>
  <si>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</si>
  <si>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</si>
  <si>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</si>
  <si>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</si>
  <si>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</si>
  <si>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</si>
  <si>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</si>
  <si>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</si>
  <si>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</si>
  <si>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</si>
  <si>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</si>
  <si>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</si>
  <si>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</si>
  <si>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</si>
  <si>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</si>
  <si>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</si>
  <si>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</si>
  <si>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</si>
  <si>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</si>
  <si>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</si>
  <si>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</si>
  <si>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</si>
  <si>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</si>
  <si>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</si>
  <si>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</si>
  <si>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</si>
  <si>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</si>
  <si>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</si>
  <si>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</si>
  <si>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</si>
  <si>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</si>
  <si>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</si>
  <si>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</si>
  <si>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</si>
  <si>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</si>
  <si>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</si>
  <si>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</si>
  <si>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</si>
  <si>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</si>
  <si>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</si>
  <si>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</si>
  <si>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</si>
  <si>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</si>
  <si>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</si>
  <si>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</si>
  <si>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</si>
  <si>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</si>
  <si>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</si>
  <si>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</si>
  <si>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</si>
  <si>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</si>
  <si>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</si>
  <si>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</si>
  <si>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</si>
  <si>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</si>
  <si>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</si>
  <si>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</si>
  <si>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</si>
  <si>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</si>
  <si>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</si>
  <si>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</si>
  <si>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</si>
  <si>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</si>
  <si>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</si>
  <si>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</si>
  <si>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</si>
  <si>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</si>
  <si>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</si>
  <si>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</si>
  <si>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</si>
  <si>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</si>
  <si>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</si>
  <si>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</si>
  <si>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</si>
  <si>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</si>
  <si>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</si>
  <si>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</si>
  <si>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</si>
  <si>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</si>
  <si>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</si>
  <si>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</si>
  <si>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</si>
  <si>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</si>
  <si>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</si>
  <si>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</si>
  <si>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</si>
  <si>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</si>
  <si>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</si>
  <si>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</si>
  <si>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</si>
  <si>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</si>
  <si>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</si>
  <si>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</si>
  <si>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</si>
  <si>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</si>
  <si>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</si>
  <si>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</si>
  <si>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</si>
  <si>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</si>
  <si>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</si>
  <si>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</si>
  <si>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</si>
  <si>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</si>
  <si>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</si>
  <si>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</si>
  <si>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</si>
  <si>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</si>
  <si>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</si>
  <si>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</si>
  <si>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</si>
  <si>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</si>
  <si>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</si>
  <si>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</si>
  <si>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</si>
  <si>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</si>
  <si>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</si>
  <si>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</si>
  <si>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</si>
  <si>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</si>
  <si>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</si>
  <si>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</si>
  <si>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</si>
  <si>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</si>
  <si>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</si>
  <si>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</si>
  <si>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</si>
  <si>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</si>
  <si>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</si>
  <si>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</si>
  <si>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</si>
  <si>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</si>
  <si>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</si>
  <si>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</si>
  <si>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</si>
  <si>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</si>
  <si>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</si>
  <si>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</si>
  <si>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</si>
  <si>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</si>
  <si>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</si>
  <si>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</si>
  <si>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</si>
  <si>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</si>
  <si>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</si>
  <si>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</si>
  <si>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</si>
  <si>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</si>
  <si>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</si>
  <si>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</si>
  <si>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</si>
  <si>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</si>
  <si>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</si>
  <si>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</si>
  <si>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</si>
  <si>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</si>
  <si>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</si>
  <si>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</si>
  <si>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</si>
  <si>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</si>
  <si>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</si>
  <si>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</si>
  <si>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</si>
  <si>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</si>
  <si>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</si>
  <si>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</si>
  <si>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</si>
  <si>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</si>
  <si>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</si>
  <si>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</si>
  <si>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</si>
  <si>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</si>
  <si>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</si>
  <si>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</si>
  <si>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</si>
  <si>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</si>
  <si>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</si>
  <si>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</si>
  <si>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</si>
  <si>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</si>
  <si>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</si>
  <si>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</si>
  <si>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</si>
  <si>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</si>
  <si>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</si>
  <si>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</si>
  <si>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</si>
  <si>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</si>
  <si>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</si>
  <si>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</si>
  <si>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</si>
  <si>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</si>
  <si>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</si>
  <si>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</si>
  <si>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</si>
  <si>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</si>
  <si>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</si>
  <si>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</si>
  <si>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</si>
  <si>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</si>
  <si>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</si>
  <si>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</si>
  <si>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</si>
  <si>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</si>
  <si>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</si>
  <si>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</si>
  <si>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</si>
  <si>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</si>
  <si>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</si>
  <si>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</si>
  <si>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</si>
  <si>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</si>
  <si>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</si>
  <si>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</si>
  <si>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</si>
  <si>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</si>
  <si>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</si>
  <si>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</si>
  <si>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</si>
  <si>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</si>
  <si>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</si>
  <si>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</si>
  <si>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</si>
  <si>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</si>
  <si>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</si>
  <si>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</si>
  <si>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</si>
  <si>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</si>
  <si>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</si>
  <si>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</si>
  <si>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</si>
  <si>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</si>
  <si>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</si>
  <si>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</si>
  <si>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</si>
  <si>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</si>
  <si>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</si>
  <si>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</si>
  <si>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</si>
  <si>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</si>
  <si>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</si>
  <si>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</si>
  <si>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</si>
  <si>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</si>
  <si>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</si>
  <si>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</si>
  <si>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</si>
  <si>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</si>
  <si>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</si>
  <si>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</si>
  <si>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</si>
  <si>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</si>
  <si>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</si>
  <si>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</si>
  <si>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</si>
  <si>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</si>
  <si>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</si>
  <si>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</si>
  <si>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</si>
  <si>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</si>
  <si>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</si>
  <si>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</si>
  <si>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</si>
  <si>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</si>
  <si>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</si>
  <si>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</si>
  <si>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</si>
  <si>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</si>
  <si>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</si>
  <si>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</si>
  <si>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</si>
  <si>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</si>
  <si>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</si>
  <si>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</si>
  <si>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</si>
  <si>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</si>
  <si>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</si>
  <si>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</si>
  <si>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</si>
  <si>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</si>
  <si>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</si>
  <si>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</si>
  <si>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</si>
  <si>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</si>
  <si>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</si>
  <si>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</si>
  <si>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</si>
  <si>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</si>
  <si>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</si>
  <si>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</si>
  <si>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</si>
  <si>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</si>
  <si>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</si>
  <si>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</si>
  <si>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</si>
  <si>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</si>
  <si>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</si>
  <si>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</si>
  <si>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</si>
  <si>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</si>
  <si>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</si>
  <si>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</si>
  <si>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</si>
  <si>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</si>
  <si>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</si>
  <si>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</si>
  <si>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</si>
  <si>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</si>
  <si>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</si>
  <si>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</si>
  <si>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</si>
  <si>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</si>
  <si>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</si>
  <si>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</si>
  <si>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</si>
  <si>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</si>
  <si>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</si>
  <si>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</si>
  <si>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</si>
  <si>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</si>
  <si>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</si>
  <si>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</si>
  <si>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</si>
  <si>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</si>
  <si>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</si>
  <si>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</si>
  <si>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</si>
  <si>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</si>
  <si>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</si>
  <si>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</si>
  <si>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</si>
  <si>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</si>
  <si>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</si>
  <si>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</si>
  <si>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</si>
  <si>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</si>
  <si>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</si>
  <si>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</si>
  <si>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</si>
  <si>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</si>
  <si>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</si>
  <si>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</si>
  <si>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</si>
  <si>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</si>
  <si>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</si>
  <si>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</si>
  <si>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</si>
  <si>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</si>
  <si>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</si>
  <si>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</si>
  <si>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</si>
  <si>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</si>
  <si>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</si>
  <si>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</si>
  <si>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</si>
  <si>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</si>
  <si>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</si>
  <si>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</si>
  <si>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</si>
  <si>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</si>
  <si>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</si>
  <si>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</si>
  <si>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</si>
  <si>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</si>
  <si>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</si>
  <si>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</si>
  <si>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</si>
  <si>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</si>
  <si>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</si>
  <si>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</si>
  <si>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</si>
  <si>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</si>
  <si>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</si>
  <si>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</si>
  <si>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</si>
  <si>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</si>
  <si>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</si>
  <si>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</si>
  <si>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</si>
  <si>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</si>
  <si>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</si>
  <si>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</si>
  <si>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</si>
  <si>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</si>
  <si>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</si>
  <si>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</si>
  <si>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</si>
  <si>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</si>
  <si>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</si>
  <si>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</si>
  <si>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</si>
  <si>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</si>
  <si>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</si>
  <si>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</si>
  <si>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</si>
  <si>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</si>
  <si>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</si>
  <si>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</si>
  <si>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</si>
  <si>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</si>
  <si>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</si>
  <si>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</si>
  <si>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</si>
  <si>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</si>
  <si>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</si>
  <si>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</si>
  <si>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</si>
  <si>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</si>
  <si>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</si>
  <si>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</si>
  <si>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</si>
  <si>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</si>
  <si>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</si>
  <si>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</si>
  <si>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</si>
  <si>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</si>
  <si>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</si>
  <si>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</si>
  <si>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</si>
  <si>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</si>
  <si>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</si>
  <si>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</si>
  <si>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</si>
  <si>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</si>
  <si>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</si>
  <si>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</si>
  <si>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</si>
  <si>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</si>
  <si>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</si>
  <si>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</si>
  <si>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</si>
  <si>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</si>
  <si>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</si>
  <si>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</si>
  <si>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</si>
  <si>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</si>
  <si>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</si>
  <si>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</si>
  <si>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</si>
  <si>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</si>
  <si>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</si>
  <si>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</si>
  <si>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</si>
  <si>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</si>
  <si>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</si>
  <si>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</si>
  <si>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</si>
  <si>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</si>
  <si>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</si>
  <si>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</si>
  <si>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</si>
  <si>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</si>
  <si>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</si>
  <si>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</si>
  <si>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</si>
  <si>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</si>
  <si>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</si>
  <si>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</si>
  <si>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</si>
  <si>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</si>
  <si>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</si>
  <si>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</si>
  <si>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</si>
  <si>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</si>
  <si>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</si>
  <si>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</si>
  <si>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</si>
  <si>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</si>
  <si>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</si>
  <si>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</si>
  <si>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</si>
  <si>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</si>
  <si>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</si>
  <si>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</si>
  <si>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</si>
  <si>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</si>
  <si>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</si>
  <si>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</si>
  <si>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</si>
  <si>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</si>
  <si>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</si>
  <si>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</si>
  <si>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</si>
  <si>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</si>
  <si>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</si>
  <si>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</si>
  <si>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</si>
  <si>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</si>
  <si>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</si>
  <si>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</si>
  <si>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</si>
  <si>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</si>
  <si>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</si>
  <si>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</si>
  <si>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</si>
  <si>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</si>
  <si>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</si>
  <si>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</si>
  <si>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</si>
  <si>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</si>
  <si>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</si>
  <si>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</si>
  <si>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</si>
  <si>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</si>
  <si>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</si>
  <si>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</si>
  <si>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</si>
  <si>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</si>
  <si>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</si>
  <si>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</si>
  <si>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</si>
  <si>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</si>
  <si>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</si>
  <si>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</si>
  <si>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</si>
  <si>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</si>
  <si>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</si>
  <si>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</si>
  <si>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</si>
  <si>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</si>
  <si>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</si>
  <si>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</si>
  <si>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</si>
  <si>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</si>
  <si>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</si>
  <si>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</si>
  <si>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</si>
  <si>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</si>
  <si>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</si>
  <si>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</si>
  <si>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</si>
  <si>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</si>
  <si>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</si>
  <si>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</si>
  <si>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</si>
  <si>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</si>
  <si>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</si>
  <si>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</si>
  <si>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</si>
  <si>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</si>
  <si>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</si>
  <si>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</si>
  <si>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</si>
  <si>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</si>
  <si>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</si>
  <si>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</si>
  <si>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</si>
  <si>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</si>
  <si>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</si>
  <si>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</si>
  <si>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</si>
  <si>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</si>
  <si>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</si>
  <si>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</si>
  <si>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</si>
  <si>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</si>
  <si>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</si>
  <si>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</si>
  <si>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</si>
  <si>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</si>
  <si>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</si>
  <si>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</si>
  <si>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</si>
  <si>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</si>
  <si>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</si>
  <si>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</si>
  <si>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</si>
  <si>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</si>
  <si>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</si>
  <si>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</si>
  <si>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</si>
  <si>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</si>
  <si>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</si>
  <si>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</si>
  <si>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</si>
  <si>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</si>
  <si>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</si>
  <si>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</si>
  <si>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</si>
  <si>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</si>
  <si>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</si>
  <si>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</si>
  <si>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</si>
  <si>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</si>
  <si>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</si>
  <si>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</si>
  <si>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</si>
  <si>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</si>
  <si>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</si>
  <si>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</si>
  <si>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</si>
  <si>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</si>
  <si>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</si>
  <si>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</si>
  <si>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</si>
  <si>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</si>
  <si>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</si>
  <si>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</si>
  <si>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</si>
  <si>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</si>
  <si>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</si>
  <si>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</si>
  <si>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</si>
  <si>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</si>
  <si>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</si>
  <si>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</si>
  <si>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</si>
  <si>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</si>
  <si>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</si>
  <si>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</si>
  <si>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</si>
  <si>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</si>
  <si>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</si>
  <si>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</si>
  <si>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</si>
  <si>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</si>
  <si>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</si>
  <si>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</si>
  <si>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</si>
  <si>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</si>
  <si>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</si>
  <si>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</si>
  <si>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</si>
  <si>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</si>
  <si>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</si>
  <si>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</si>
  <si>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</si>
  <si>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</si>
  <si>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</si>
  <si>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</si>
  <si>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</si>
  <si>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</si>
  <si>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</si>
  <si>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</si>
  <si>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</si>
  <si>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</si>
  <si>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</si>
  <si>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</si>
  <si>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</si>
  <si>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</si>
  <si>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</si>
  <si>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</si>
  <si>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</si>
  <si>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</si>
  <si>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</si>
  <si>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</si>
  <si>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</si>
  <si>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</si>
  <si>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</si>
  <si>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</si>
  <si>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</si>
  <si>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</si>
  <si>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</si>
  <si>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</si>
  <si>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</si>
  <si>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</si>
  <si>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</si>
  <si>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</si>
  <si>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</si>
  <si>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</si>
  <si>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</si>
  <si>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</si>
  <si>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</si>
  <si>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</si>
  <si>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</si>
  <si>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</si>
  <si>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</si>
  <si>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</si>
  <si>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</si>
  <si>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</si>
  <si>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</si>
  <si>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</si>
  <si>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</si>
  <si>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</si>
  <si>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</si>
  <si>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</si>
  <si>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</si>
  <si>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</si>
  <si>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</si>
  <si>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</si>
  <si>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</si>
  <si>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</si>
  <si>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</si>
  <si>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</si>
  <si>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</si>
  <si>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</si>
  <si>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</si>
  <si>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</si>
  <si>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</si>
  <si>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</si>
  <si>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</si>
  <si>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</si>
  <si>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</si>
  <si>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</si>
  <si>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</si>
  <si>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</si>
  <si>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</si>
  <si>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</si>
  <si>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</si>
  <si>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</si>
  <si>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</si>
  <si>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</si>
  <si>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</si>
  <si>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</si>
  <si>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</si>
  <si>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</si>
  <si>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</si>
  <si>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</si>
  <si>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</si>
  <si>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</si>
  <si>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</si>
  <si>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</si>
  <si>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</si>
  <si>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</si>
  <si>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</si>
  <si>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</si>
  <si>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</si>
  <si>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</si>
  <si>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</si>
  <si>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</si>
  <si>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</si>
  <si>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</si>
  <si>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</si>
  <si>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</si>
  <si>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</si>
  <si>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</si>
  <si>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</si>
  <si>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</si>
  <si>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</si>
  <si>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</si>
  <si>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</si>
  <si>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</si>
  <si>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</si>
  <si>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</si>
  <si>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</si>
  <si>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</si>
  <si>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</si>
  <si>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</si>
  <si>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</si>
  <si>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</si>
  <si>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</si>
  <si>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</si>
  <si>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</si>
  <si>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</si>
  <si>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</si>
  <si>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</si>
  <si>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</si>
  <si>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</si>
  <si>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</si>
  <si>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</si>
  <si>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</si>
  <si>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</si>
  <si>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</si>
  <si>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</si>
  <si>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</si>
  <si>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</si>
  <si>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</si>
  <si>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</si>
  <si>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</si>
  <si>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</si>
  <si>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</si>
  <si>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</si>
  <si>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</si>
  <si>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</si>
  <si>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</si>
  <si>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</si>
  <si>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</si>
  <si>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</si>
  <si>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</si>
  <si>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</si>
  <si>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</si>
  <si>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</si>
  <si>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</si>
  <si>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</si>
  <si>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</si>
  <si>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</si>
  <si>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</si>
  <si>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</si>
  <si>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</si>
  <si>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</si>
  <si>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</si>
  <si>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</si>
  <si>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</si>
  <si>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</si>
  <si>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</si>
  <si>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</si>
  <si>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</si>
  <si>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</si>
  <si>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</si>
  <si>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</si>
  <si>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</si>
  <si>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</si>
  <si>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</si>
  <si>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</si>
  <si>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</si>
  <si>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</si>
  <si>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</si>
  <si>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</si>
  <si>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</si>
  <si>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</si>
  <si>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</si>
  <si>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</si>
  <si>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</si>
  <si>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</si>
  <si>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</si>
  <si>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</si>
  <si>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</si>
  <si>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</si>
  <si>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</si>
  <si>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</si>
  <si>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</si>
  <si>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</si>
  <si>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</si>
  <si>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</si>
  <si>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</si>
  <si>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</si>
  <si>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</si>
  <si>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</si>
  <si>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</si>
  <si>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</si>
  <si>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</si>
  <si>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</si>
  <si>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</si>
  <si>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</si>
  <si>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</si>
  <si>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</si>
  <si>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</si>
  <si>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</si>
  <si>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</si>
  <si>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</si>
  <si>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</si>
  <si>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</si>
  <si>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</si>
  <si>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</si>
  <si>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</si>
  <si>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</si>
  <si>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</si>
  <si>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</si>
  <si>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</si>
  <si>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</si>
  <si>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</si>
  <si>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</si>
  <si>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</si>
  <si>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</si>
  <si>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</si>
  <si>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</si>
  <si>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</si>
  <si>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</si>
  <si>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</si>
  <si>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</si>
  <si>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</si>
  <si>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</si>
  <si>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</si>
  <si>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</si>
  <si>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</si>
  <si>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</si>
  <si>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</si>
  <si>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</si>
  <si>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</si>
  <si>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</si>
  <si>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</si>
  <si>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</si>
  <si>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</si>
  <si>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</si>
  <si>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</si>
  <si>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</si>
  <si>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</si>
  <si>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</si>
  <si>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</si>
  <si>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</si>
  <si>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</si>
  <si>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</si>
  <si>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</si>
  <si>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</si>
  <si>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</si>
  <si>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</si>
  <si>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</si>
  <si>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</si>
  <si>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</si>
  <si>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</si>
  <si>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</si>
  <si>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</si>
  <si>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</si>
  <si>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</si>
  <si>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</si>
  <si>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</si>
  <si>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</si>
  <si>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</si>
  <si>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</si>
  <si>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</si>
  <si>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</si>
  <si>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</si>
  <si>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</si>
  <si>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</si>
  <si>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</si>
  <si>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</si>
  <si>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</si>
  <si>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</si>
  <si>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</si>
  <si>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</si>
  <si>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</si>
  <si>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</si>
  <si>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</si>
  <si>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</si>
  <si>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</si>
  <si>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</si>
  <si>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</si>
  <si>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</si>
  <si>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</si>
  <si>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</si>
  <si>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</si>
  <si>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</si>
  <si>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</si>
  <si>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</si>
  <si>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</si>
  <si>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</si>
  <si>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</si>
  <si>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</si>
  <si>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</si>
  <si>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</si>
  <si>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</si>
  <si>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</si>
  <si>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</si>
  <si>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</si>
  <si>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</si>
  <si>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</si>
  <si>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</si>
  <si>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</si>
  <si>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</si>
  <si>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</si>
  <si>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</si>
  <si>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</si>
  <si>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</si>
  <si>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</si>
  <si>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</si>
  <si>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</si>
  <si>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</si>
  <si>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</si>
  <si>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</si>
  <si>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</si>
  <si>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</si>
  <si>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</si>
  <si>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</si>
  <si>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</si>
  <si>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</si>
  <si>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</si>
  <si>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</si>
  <si>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</si>
  <si>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</si>
  <si>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</si>
  <si>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</si>
  <si>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</si>
  <si>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</si>
  <si>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</si>
  <si>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</si>
  <si>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</si>
  <si>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</si>
  <si>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</si>
  <si>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</si>
  <si>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</si>
  <si>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</si>
  <si>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</si>
  <si>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</si>
  <si>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</si>
  <si>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</si>
  <si>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</si>
  <si>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</si>
  <si>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</si>
  <si>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</si>
  <si>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</si>
  <si>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</si>
  <si>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</si>
  <si>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</si>
  <si>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</si>
  <si>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</si>
  <si>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</si>
  <si>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</si>
  <si>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</si>
  <si>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</si>
  <si>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</si>
  <si>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</si>
  <si>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</si>
  <si>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</si>
  <si>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</si>
  <si>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</si>
  <si>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</si>
  <si>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</si>
  <si>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</si>
  <si>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</si>
  <si>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</si>
  <si>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</si>
  <si>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</si>
  <si>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</si>
  <si>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</si>
  <si>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</si>
  <si>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</si>
  <si>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</si>
  <si>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</si>
  <si>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</si>
  <si>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</si>
  <si>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</si>
  <si>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</si>
  <si>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</si>
  <si>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</si>
  <si>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</si>
  <si>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</si>
  <si>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</si>
  <si>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</si>
  <si>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</si>
  <si>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</si>
  <si>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</si>
  <si>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</si>
  <si>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</si>
  <si>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</si>
  <si>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</si>
  <si>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</si>
  <si>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</si>
  <si>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</si>
  <si>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</si>
  <si>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</si>
  <si>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</si>
  <si>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</si>
  <si>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</si>
  <si>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</si>
  <si>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</si>
  <si>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</si>
  <si>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</si>
  <si>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</si>
  <si>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</si>
  <si>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</si>
  <si>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</si>
  <si>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</si>
  <si>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</si>
  <si>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</si>
  <si>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</si>
  <si>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</si>
  <si>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</si>
  <si>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</si>
  <si>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</si>
  <si>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</si>
  <si>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</si>
  <si>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</si>
  <si>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</si>
  <si>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</si>
  <si>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</si>
  <si>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</si>
  <si>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</si>
  <si>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</si>
  <si>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</si>
  <si>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</si>
  <si>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</si>
  <si>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</si>
  <si>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</si>
  <si>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</si>
  <si>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</si>
  <si>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</si>
  <si>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酒店</t>
  </si>
  <si>
    <t>酒店</t>
    <phoneticPr fontId="3" type="noConversion"/>
  </si>
  <si>
    <t>是</t>
  </si>
  <si>
    <t>地上</t>
  </si>
  <si>
    <t>地下</t>
  </si>
  <si>
    <t>楼层</t>
    <phoneticPr fontId="134" type="noConversion"/>
  </si>
  <si>
    <t>建筑面积</t>
    <phoneticPr fontId="134" type="noConversion"/>
  </si>
  <si>
    <t>附属</t>
    <phoneticPr fontId="134" type="noConversion"/>
  </si>
  <si>
    <t>成新度</t>
  </si>
  <si>
    <t>收益法</t>
  </si>
  <si>
    <t>押一</t>
  </si>
  <si>
    <t>钢混</t>
  </si>
  <si>
    <t>非生产用房</t>
  </si>
  <si>
    <t>自定义容积率</t>
  </si>
  <si>
    <t>不临65条商业街</t>
  </si>
  <si>
    <t>与级别开发程度一致</t>
  </si>
  <si>
    <t>楼层修正</t>
  </si>
  <si>
    <t>一般</t>
  </si>
  <si>
    <t>较好</t>
  </si>
  <si>
    <t>较差</t>
  </si>
  <si>
    <t>好</t>
  </si>
  <si>
    <t>未包含在土地购买价格中</t>
  </si>
  <si>
    <t>全部缴纳</t>
  </si>
  <si>
    <t>已包含在土地取得成本中</t>
  </si>
  <si>
    <t>成本法</t>
  </si>
  <si>
    <t>收益法-酒店模型</t>
  </si>
  <si>
    <t>总价</t>
  </si>
  <si>
    <t>成本比率</t>
  </si>
  <si>
    <t>现房</t>
  </si>
  <si>
    <t>项目局部</t>
  </si>
  <si>
    <t>利润表</t>
  </si>
  <si>
    <t>单位：人民币元</t>
  </si>
  <si>
    <t>报表项目名称</t>
  </si>
  <si>
    <t>本期发生数金额</t>
  </si>
  <si>
    <t>本年累计数金额</t>
  </si>
  <si>
    <t>一、营业收入</t>
  </si>
  <si>
    <t xml:space="preserve">  减：营业成本</t>
  </si>
  <si>
    <t xml:space="preserve">      营业税金及附加</t>
  </si>
  <si>
    <t xml:space="preserve">      销售费用</t>
  </si>
  <si>
    <t xml:space="preserve">      管理费用</t>
  </si>
  <si>
    <t xml:space="preserve">      财务费用</t>
  </si>
  <si>
    <t xml:space="preserve">        其中：利息费用</t>
  </si>
  <si>
    <t xml:space="preserve">              利息收入</t>
  </si>
  <si>
    <t xml:space="preserve">      信用减值损失</t>
  </si>
  <si>
    <t xml:space="preserve">      资产减值损失</t>
  </si>
  <si>
    <t xml:space="preserve">  加：公允价值变动净收益（损失以“－”号填列）</t>
  </si>
  <si>
    <t xml:space="preserve">      投资净收益（损失以“－”号填列）</t>
  </si>
  <si>
    <t xml:space="preserve">      其中：对联营企业和合营企业的投资收益</t>
  </si>
  <si>
    <t xml:space="preserve">      资产处置收益</t>
  </si>
  <si>
    <t xml:space="preserve">      其他收益</t>
  </si>
  <si>
    <t>二、营业利润（亏损以“－”号填列）</t>
  </si>
  <si>
    <t xml:space="preserve">  加：营业外收入</t>
  </si>
  <si>
    <t xml:space="preserve">  减：营业外支出</t>
  </si>
  <si>
    <t xml:space="preserve">     其中：非流动资产处置净损失</t>
  </si>
  <si>
    <t>三、利润总额（亏损总额以“－”号填列）</t>
  </si>
  <si>
    <t xml:space="preserve">  减：所得税费用</t>
  </si>
  <si>
    <t>四、净利润（净亏损以“－”号填列）</t>
  </si>
  <si>
    <t xml:space="preserve">    归属于母公司所有者的净利润</t>
  </si>
  <si>
    <t xml:space="preserve">    少数股东损益</t>
  </si>
  <si>
    <t>北京芍药居分店</t>
  </si>
  <si>
    <t>2023-12</t>
  </si>
  <si>
    <r>
      <rPr>
        <b/>
        <u/>
        <sz val="18"/>
        <color rgb="FF000000"/>
        <rFont val="宋体"/>
        <family val="3"/>
        <charset val="134"/>
      </rPr>
      <t>芍药居奥体中心</t>
    </r>
    <r>
      <rPr>
        <b/>
        <sz val="18"/>
        <color rgb="FF000000"/>
        <rFont val="宋体"/>
        <family val="3"/>
        <charset val="134"/>
      </rPr>
      <t xml:space="preserve">店2025年7月物业台账明细表            </t>
    </r>
    <r>
      <rPr>
        <sz val="10"/>
        <color rgb="FF000000"/>
        <rFont val="宋体"/>
        <family val="3"/>
        <charset val="134"/>
      </rPr>
      <t xml:space="preserve"> </t>
    </r>
    <r>
      <rPr>
        <b/>
        <sz val="18"/>
        <color rgb="FF000000"/>
        <rFont val="宋体"/>
        <family val="3"/>
        <charset val="134"/>
      </rPr>
      <t xml:space="preserve">                            </t>
    </r>
  </si>
  <si>
    <t>物业管理责任人：</t>
  </si>
  <si>
    <t>宋晓光</t>
  </si>
  <si>
    <t>酒店承租物业情况：自有物业</t>
  </si>
  <si>
    <t>承租面积：8789.66㎡</t>
  </si>
  <si>
    <t>门店建筑总面积： 8789.66㎡     自用面积：6813.73㎡        可外实际外租总面积：1975.93㎡    空置总面积：0</t>
  </si>
  <si>
    <t>酒店外租物业情况：</t>
  </si>
  <si>
    <t>序号</t>
  </si>
  <si>
    <t>合同原编号</t>
  </si>
  <si>
    <t>合同新编号</t>
  </si>
  <si>
    <t>租赁单位名称（承租方）</t>
  </si>
  <si>
    <t>租赁具体地址</t>
  </si>
  <si>
    <t>租赁用途</t>
  </si>
  <si>
    <t>出租面积</t>
  </si>
  <si>
    <t>每平方单价/元</t>
  </si>
  <si>
    <t>租赁期限</t>
  </si>
  <si>
    <t>每月租金  （合同原始）</t>
  </si>
  <si>
    <t>递增约定</t>
  </si>
  <si>
    <t>交付保证金总金额</t>
  </si>
  <si>
    <t>合同签订日期</t>
  </si>
  <si>
    <t>乙方签订代表及联系方式</t>
  </si>
  <si>
    <t>甲方签订代表</t>
  </si>
  <si>
    <t>甲方责任人</t>
  </si>
  <si>
    <t>租金
缴纳方案</t>
  </si>
  <si>
    <t>现当月应收租金金额（当月实际收取租金）</t>
  </si>
  <si>
    <t>已发生应收取电费金额</t>
  </si>
  <si>
    <t>已发生应收取水费金额</t>
  </si>
  <si>
    <t>其他费用应收取金额</t>
  </si>
  <si>
    <t>本月应收租金费用合计总额</t>
  </si>
  <si>
    <t>往月欠款金额</t>
  </si>
  <si>
    <t>本月租金费用收缴情况</t>
  </si>
  <si>
    <t>未收回的欠款金额</t>
  </si>
  <si>
    <t>BJCZ20190702</t>
  </si>
  <si>
    <t>中青旅山水（芍药居酒店）-2024-17号-01</t>
  </si>
  <si>
    <t>三页草（北京）文化创意产业有限公司</t>
  </si>
  <si>
    <t>一层东/（B1东）</t>
  </si>
  <si>
    <t xml:space="preserve">培训
</t>
  </si>
  <si>
    <t>2024/8/1-2029/7/31（5年）</t>
  </si>
  <si>
    <t>2024/8/1-2026/7/31日地上7.5元/天/平米，地下2.7元/天/平米，月租金47815元/月，2026/8/1-2029/7/31地上7.857元/天/平米，地下2.835元/天/平米，月租金50205.75元/月。</t>
  </si>
  <si>
    <t>张卫；13701088821</t>
  </si>
  <si>
    <t>徐新喜</t>
  </si>
  <si>
    <t>按季度缴纳</t>
  </si>
  <si>
    <t>已付</t>
  </si>
  <si>
    <t>中青旅山水（芍药居酒店）-2023-13号-01</t>
  </si>
  <si>
    <t>中青旅山水（芍药居酒店）-2022-13号</t>
  </si>
  <si>
    <t>朵儿与墨创意文化（北京）有限公司</t>
  </si>
  <si>
    <t xml:space="preserve">
（首层东侧）</t>
  </si>
  <si>
    <t>文具店</t>
  </si>
  <si>
    <t>2023/12/20-2026/12/19（3年）</t>
  </si>
  <si>
    <t>无</t>
  </si>
  <si>
    <t>徐海萍：13051206820</t>
  </si>
  <si>
    <t>BJCZ20190301</t>
  </si>
  <si>
    <t>中青旅山水（芍药居酒店）2023-14-01号</t>
  </si>
  <si>
    <t>北京聚祥益盛餐饮管理中心</t>
  </si>
  <si>
    <t>（首层南侧）</t>
  </si>
  <si>
    <t>餐饮</t>
  </si>
  <si>
    <t>2024/3/1-2027/2/28（3年）</t>
  </si>
  <si>
    <t>胡海峰，电话13718183890</t>
  </si>
  <si>
    <t>BJCZ1230</t>
  </si>
  <si>
    <t>中青旅山水（芍药居酒店）2023-02号</t>
  </si>
  <si>
    <t>北京精美轩食府</t>
  </si>
  <si>
    <t>一层西/B1西北侧</t>
  </si>
  <si>
    <t>2023/4/1-2026/3/31（3年）</t>
  </si>
  <si>
    <t>杨洁，电话18911780883</t>
  </si>
  <si>
    <t>尹英芹</t>
  </si>
  <si>
    <t>BJCZ20191224</t>
  </si>
  <si>
    <t>中青旅山水（芍药居酒店）2023-01号</t>
  </si>
  <si>
    <t>北京三村餐饮有限公司</t>
  </si>
  <si>
    <t xml:space="preserve">
（一层南）</t>
  </si>
  <si>
    <t>2023/3/24-2026/3/23（3年）</t>
  </si>
  <si>
    <t>2023年3月24日至2025年3月23日每月租金34446.88元/月，2025年3月24日至2026年3月23日房屋单价递增至8元/平米，月租金36743.33元/月。</t>
  </si>
  <si>
    <t>周建中.电话：
13911293106</t>
  </si>
  <si>
    <t>中青旅山水（芍药居酒店）2023-12号-01</t>
  </si>
  <si>
    <t>连君龙（北京鑫源毅扬餐饮有限公司）</t>
  </si>
  <si>
    <t>2023/7/31-2028/7/30（5年）</t>
  </si>
  <si>
    <t>2024/7/31-2027/7/30月租金27557.5.2027/7/31-2028/7/30月租金29200</t>
  </si>
  <si>
    <t>2023.7.31</t>
  </si>
  <si>
    <t>连君龙，电话：13801000763</t>
  </si>
  <si>
    <t>中青旅山水（芍药居酒店）2024-16号-01</t>
  </si>
  <si>
    <t>北京杆杆响袋台球俱乐部(肖鹏）</t>
  </si>
  <si>
    <t>地下一层</t>
  </si>
  <si>
    <t>台球</t>
  </si>
  <si>
    <t>2024/4/18-2027/4/17（3年）</t>
  </si>
  <si>
    <t>肖鹏，电话18618265826</t>
  </si>
  <si>
    <t>中青旅山水（芍药居酒店）2023-15号-01</t>
  </si>
  <si>
    <t>北京优利印图文广告有限公司</t>
  </si>
  <si>
    <t>印刷</t>
  </si>
  <si>
    <t>2024/1/18-2028/1/17（4年）</t>
  </si>
  <si>
    <t>该租户租金2024年1月18日至2026年1月17日按2.7元/天/平方米计算，每月租金为24637.5元，2026年1月18日至2028年1月17日按2.84元/天/平方米计算，每月租金为25915元。</t>
  </si>
  <si>
    <t>肖扬，电话13141306808</t>
  </si>
  <si>
    <t>北京欧顺通信科技公司</t>
  </si>
  <si>
    <t>楼顶</t>
  </si>
  <si>
    <t>无线基站</t>
  </si>
  <si>
    <t>2020/12/1-2025/11/30（5年）</t>
  </si>
  <si>
    <t>5年租金6万元，已全部缴纳。</t>
  </si>
  <si>
    <t xml:space="preserve"> 无</t>
  </si>
  <si>
    <t>韩宁宁，电话：15210082479</t>
  </si>
  <si>
    <t>（JT-623-1续）</t>
  </si>
  <si>
    <t>北京金通时代信息技术</t>
  </si>
  <si>
    <t>2023/7/15-2033/7/14（10年）</t>
  </si>
  <si>
    <t>总租金15万，已缴纳（10万元)，剩余5万在2028年7月14日之前缴纳</t>
  </si>
  <si>
    <t>陈建东.电话：
18600056186</t>
  </si>
  <si>
    <t>北京国润建达公司</t>
  </si>
  <si>
    <t>2018/11/24-2028/11/23（10年）</t>
  </si>
  <si>
    <t>每年租金3万元，费用已全部缴纳。</t>
  </si>
  <si>
    <t>陈海成，电话18513820777</t>
  </si>
  <si>
    <r>
      <rPr>
        <sz val="11"/>
        <color theme="1"/>
        <rFont val="宋体"/>
        <family val="3"/>
        <charset val="134"/>
        <scheme val="minor"/>
      </rPr>
      <t>备注：</t>
    </r>
    <r>
      <rPr>
        <sz val="10"/>
        <color theme="1"/>
        <rFont val="宋体"/>
        <family val="3"/>
        <charset val="134"/>
        <scheme val="minor"/>
      </rPr>
      <t>1、各分店物业（含广告位、临时场地等凡属于租金收益）租赁出租情况要求详细填进此表。</t>
    </r>
  </si>
  <si>
    <t xml:space="preserve">      2、凡涉及续签、解约、功能调整、租金调整等任何信息变更由各分店按《物业租赁经营管理办法》相关工作流逐一呈批并报物业管理部备案。</t>
  </si>
  <si>
    <r>
      <rPr>
        <sz val="10"/>
        <rFont val="宋体"/>
        <family val="3"/>
        <charset val="134"/>
      </rPr>
      <t xml:space="preserve">     </t>
    </r>
    <r>
      <rPr>
        <sz val="10"/>
        <rFont val="宋体"/>
        <family val="3"/>
        <charset val="134"/>
      </rPr>
      <t xml:space="preserve"> </t>
    </r>
    <r>
      <rPr>
        <sz val="10"/>
        <rFont val="宋体"/>
        <family val="3"/>
        <charset val="134"/>
      </rPr>
      <t>3、凡新签合同，到期日期需避开经营淡季，最佳时间签订合同到期日期为5--10月份。</t>
    </r>
  </si>
  <si>
    <t xml:space="preserve">      4、各分店每月于23日前将物业情况明细表发送至物业管理部。</t>
  </si>
  <si>
    <r>
      <rPr>
        <sz val="10"/>
        <rFont val="宋体"/>
        <family val="3"/>
        <charset val="134"/>
      </rPr>
      <t xml:space="preserve">     </t>
    </r>
    <r>
      <rPr>
        <sz val="10"/>
        <rFont val="宋体"/>
        <family val="3"/>
        <charset val="134"/>
      </rPr>
      <t xml:space="preserve"> 5、请对未出租面积作详细情况说明，并制定出下一步的招租方案。</t>
    </r>
  </si>
  <si>
    <r>
      <rPr>
        <sz val="10"/>
        <rFont val="宋体"/>
        <family val="3"/>
        <charset val="134"/>
      </rPr>
      <t xml:space="preserve">     </t>
    </r>
    <r>
      <rPr>
        <sz val="10"/>
        <rFont val="宋体"/>
        <family val="3"/>
        <charset val="134"/>
      </rPr>
      <t xml:space="preserve"> 6、所有项目不可空置，需按实际情况填写。</t>
    </r>
  </si>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</sst>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6"/>
      <color rgb="FF000000"/>
      <name val="宋体"/>
      <family val="3"/>
      <charset val="134"/>
    </font>
    <font>
      <b/>
      <sz val="10"/>
      <color rgb="FF000000"/>
      <name val="宋体"/>
      <family val="3"/>
      <charset val="134"/>
    </font>
    <font>
      <b/>
      <u/>
      <sz val="18"/>
      <color rgb="FF000000"/>
      <name val="宋体"/>
      <family val="3"/>
      <charset val="134"/>
    </font>
    <font>
      <b/>
      <sz val="18"/>
      <color rgb="FF000000"/>
      <name val="宋体"/>
      <family val="3"/>
      <charset val="134"/>
    </font>
    <font>
      <b/>
      <sz val="18"/>
      <color indexed="8"/>
      <name val="宋体"/>
      <family val="3"/>
      <charset val="134"/>
    </font>
    <font>
      <b/>
      <sz val="12"/>
      <name val="宋体"/>
      <family val="3"/>
      <charset val="134"/>
      <scheme val="minor"/>
    </font>
    <font>
      <b/>
      <sz val="11"/>
      <name val="宋体"/>
      <family val="3"/>
      <charset val="134"/>
      <scheme val="minor"/>
    </font>
    <font>
      <sz val="11"/>
      <name val="宋体"/>
      <family val="3"/>
      <charset val="134"/>
      <scheme val="minor"/>
    </font>
    <font>
      <b/>
      <sz val="9"/>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rgb="FF000000"/>
      </patternFill>
    </fill>
    <fill>
      <patternFill patternType="solid">
        <fgColor indexed="22"/>
        <bgColor indexed="8"/>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cellStyleXfs>
  <cellXfs count="36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97" fontId="271" fillId="22" borderId="0" xfId="0" applyNumberFormat="1" applyFont="1" applyFill="1" applyAlignment="1" applyProtection="1">
      <alignment horizontal="center" vertical="center"/>
      <protection locked="0"/>
    </xf>
    <xf numFmtId="197" fontId="163" fillId="22" borderId="176" xfId="0" applyNumberFormat="1" applyFont="1" applyFill="1" applyBorder="1" applyAlignment="1" applyProtection="1">
      <alignment horizontal="justify" vertical="center"/>
      <protection locked="0"/>
    </xf>
    <xf numFmtId="197" fontId="163" fillId="22" borderId="176" xfId="0" applyNumberFormat="1" applyFont="1" applyFill="1" applyBorder="1" applyAlignment="1" applyProtection="1">
      <alignment horizontal="right" vertical="center"/>
      <protection locked="0"/>
    </xf>
    <xf numFmtId="197" fontId="272" fillId="22" borderId="177" xfId="0" applyNumberFormat="1" applyFont="1" applyFill="1" applyBorder="1" applyAlignment="1" applyProtection="1">
      <alignment horizontal="center" vertical="center"/>
      <protection locked="0"/>
    </xf>
    <xf numFmtId="197" fontId="272" fillId="22" borderId="178" xfId="0" applyNumberFormat="1" applyFont="1" applyFill="1" applyBorder="1" applyAlignment="1" applyProtection="1">
      <alignment horizontal="center" vertical="center"/>
      <protection locked="0"/>
    </xf>
    <xf numFmtId="197" fontId="272" fillId="22" borderId="179" xfId="0" applyNumberFormat="1" applyFont="1" applyFill="1" applyBorder="1" applyAlignment="1" applyProtection="1">
      <alignment horizontal="center" vertical="center"/>
      <protection locked="0"/>
    </xf>
    <xf numFmtId="197" fontId="272" fillId="22" borderId="180" xfId="0" applyNumberFormat="1" applyFont="1" applyFill="1" applyBorder="1" applyAlignment="1" applyProtection="1">
      <alignment horizontal="left" vertical="center"/>
      <protection locked="0"/>
    </xf>
    <xf numFmtId="197" fontId="163" fillId="22" borderId="181" xfId="0" applyNumberFormat="1" applyFont="1" applyFill="1" applyBorder="1" applyAlignment="1">
      <alignment horizontal="justify" vertical="center"/>
    </xf>
    <xf numFmtId="197" fontId="163" fillId="22" borderId="180" xfId="0" applyNumberFormat="1" applyFont="1" applyFill="1" applyBorder="1" applyAlignment="1" applyProtection="1">
      <alignment horizontal="left" vertical="center"/>
      <protection locked="0"/>
    </xf>
    <xf numFmtId="197" fontId="163" fillId="22" borderId="181" xfId="0" applyNumberFormat="1" applyFont="1" applyFill="1" applyBorder="1" applyAlignment="1" applyProtection="1">
      <alignment horizontal="justify" vertical="center"/>
      <protection locked="0"/>
    </xf>
    <xf numFmtId="197" fontId="163" fillId="22" borderId="182" xfId="0" applyNumberFormat="1" applyFont="1" applyFill="1" applyBorder="1" applyAlignment="1" applyProtection="1">
      <alignment horizontal="left" vertical="center"/>
      <protection locked="0"/>
    </xf>
    <xf numFmtId="197" fontId="127" fillId="23" borderId="0" xfId="0" applyNumberFormat="1" applyFont="1" applyFill="1" applyAlignment="1" applyProtection="1">
      <alignment horizontal="center" vertical="center"/>
      <protection locked="0"/>
    </xf>
    <xf numFmtId="197" fontId="77" fillId="23" borderId="183" xfId="0" applyNumberFormat="1" applyFont="1" applyFill="1" applyBorder="1" applyAlignment="1" applyProtection="1">
      <alignment horizontal="left" vertical="center"/>
      <protection locked="0"/>
    </xf>
    <xf numFmtId="197" fontId="77" fillId="23" borderId="183" xfId="0" applyNumberFormat="1" applyFont="1" applyFill="1" applyBorder="1" applyAlignment="1" applyProtection="1">
      <alignment horizontal="right" vertical="center"/>
      <protection locked="0"/>
    </xf>
    <xf numFmtId="197" fontId="79" fillId="23" borderId="184" xfId="0" applyNumberFormat="1" applyFont="1" applyFill="1" applyBorder="1" applyAlignment="1" applyProtection="1">
      <alignment horizontal="center" vertical="center"/>
      <protection locked="0"/>
    </xf>
    <xf numFmtId="197" fontId="79" fillId="23" borderId="185" xfId="0" applyNumberFormat="1" applyFont="1" applyFill="1" applyBorder="1" applyAlignment="1" applyProtection="1">
      <alignment horizontal="center" vertical="center"/>
      <protection locked="0"/>
    </xf>
    <xf numFmtId="197" fontId="79" fillId="23" borderId="186" xfId="0" applyNumberFormat="1" applyFont="1" applyFill="1" applyBorder="1" applyAlignment="1" applyProtection="1">
      <alignment horizontal="center" vertical="center"/>
      <protection locked="0"/>
    </xf>
    <xf numFmtId="197" fontId="79" fillId="23" borderId="187" xfId="0" applyNumberFormat="1" applyFont="1" applyFill="1" applyBorder="1" applyAlignment="1" applyProtection="1">
      <alignment horizontal="left" vertical="center"/>
      <protection locked="0"/>
    </xf>
    <xf numFmtId="197" fontId="77" fillId="23" borderId="188" xfId="0" applyNumberFormat="1" applyFont="1" applyFill="1" applyBorder="1" applyAlignment="1">
      <alignment horizontal="right" vertical="center"/>
    </xf>
    <xf numFmtId="197" fontId="77" fillId="23" borderId="187" xfId="0" applyNumberFormat="1" applyFont="1" applyFill="1" applyBorder="1" applyAlignment="1" applyProtection="1">
      <alignment horizontal="left" vertical="center"/>
      <protection locked="0"/>
    </xf>
    <xf numFmtId="197" fontId="77" fillId="23" borderId="188" xfId="0" applyNumberFormat="1" applyFont="1" applyFill="1" applyBorder="1" applyAlignment="1">
      <alignment horizontal="justify" vertical="center"/>
    </xf>
    <xf numFmtId="197" fontId="77" fillId="23" borderId="188" xfId="0" applyNumberFormat="1" applyFont="1" applyFill="1" applyBorder="1" applyAlignment="1" applyProtection="1">
      <alignment horizontal="justify" vertical="center"/>
      <protection locked="0"/>
    </xf>
    <xf numFmtId="197" fontId="77" fillId="23" borderId="189" xfId="0" applyNumberFormat="1" applyFont="1" applyFill="1" applyBorder="1" applyAlignment="1" applyProtection="1">
      <alignment horizontal="left" vertical="center"/>
      <protection locked="0"/>
    </xf>
    <xf numFmtId="0" fontId="273" fillId="0" borderId="190" xfId="10" applyFont="1" applyBorder="1" applyAlignment="1">
      <alignment horizontal="center" vertical="center"/>
    </xf>
    <xf numFmtId="0" fontId="275" fillId="0" borderId="190" xfId="10" applyFont="1" applyBorder="1" applyAlignment="1">
      <alignment horizontal="center" vertical="center"/>
    </xf>
    <xf numFmtId="0" fontId="95" fillId="0" borderId="191" xfId="10" applyBorder="1">
      <alignment vertical="center"/>
    </xf>
    <xf numFmtId="0" fontId="276" fillId="0" borderId="4" xfId="10" applyFont="1" applyBorder="1">
      <alignment vertical="center"/>
    </xf>
    <xf numFmtId="0" fontId="276" fillId="0" borderId="60" xfId="10" applyFont="1" applyBorder="1">
      <alignment vertical="center"/>
    </xf>
    <xf numFmtId="0" fontId="95" fillId="0" borderId="0" xfId="10">
      <alignment vertical="center"/>
    </xf>
    <xf numFmtId="0" fontId="135" fillId="0" borderId="190" xfId="10" applyFont="1" applyBorder="1" applyAlignment="1">
      <alignment horizontal="left" vertical="center"/>
    </xf>
    <xf numFmtId="0" fontId="95" fillId="0" borderId="190" xfId="10" applyBorder="1">
      <alignment vertical="center"/>
    </xf>
    <xf numFmtId="0" fontId="277" fillId="0" borderId="192" xfId="10" applyFont="1" applyBorder="1" applyAlignment="1">
      <alignment horizontal="left" vertical="center"/>
    </xf>
    <xf numFmtId="0" fontId="277" fillId="0" borderId="193" xfId="10" applyFont="1" applyBorder="1" applyAlignment="1">
      <alignment horizontal="left" vertical="center"/>
    </xf>
    <xf numFmtId="0" fontId="277" fillId="0" borderId="192" xfId="10" applyFont="1" applyBorder="1" applyAlignment="1">
      <alignment horizontal="center" vertical="center"/>
    </xf>
    <xf numFmtId="0" fontId="277" fillId="0" borderId="191" xfId="10" applyFont="1" applyBorder="1" applyAlignment="1">
      <alignment horizontal="center" vertical="center"/>
    </xf>
    <xf numFmtId="0" fontId="277" fillId="0" borderId="193" xfId="10" applyFont="1" applyBorder="1" applyAlignment="1">
      <alignment horizontal="center" vertical="center"/>
    </xf>
    <xf numFmtId="0" fontId="277" fillId="0" borderId="190" xfId="10" applyFont="1" applyBorder="1" applyAlignment="1">
      <alignment horizontal="left" vertical="center"/>
    </xf>
    <xf numFmtId="0" fontId="278" fillId="0" borderId="190" xfId="10" applyFont="1" applyBorder="1" applyAlignment="1">
      <alignment horizontal="left" vertical="center"/>
    </xf>
    <xf numFmtId="0" fontId="277" fillId="0" borderId="190" xfId="10" applyFont="1" applyBorder="1" applyAlignment="1">
      <alignment horizontal="left" vertical="center"/>
    </xf>
    <xf numFmtId="0" fontId="96" fillId="0" borderId="190" xfId="10" applyFont="1" applyBorder="1" applyAlignment="1">
      <alignment horizontal="left" vertical="center"/>
    </xf>
    <xf numFmtId="0" fontId="95" fillId="0" borderId="190" xfId="10" applyBorder="1" applyAlignment="1">
      <alignment horizontal="left" vertical="center"/>
    </xf>
    <xf numFmtId="0" fontId="185" fillId="0" borderId="190" xfId="10" applyFont="1" applyBorder="1" applyAlignment="1">
      <alignment horizontal="center" vertical="center" wrapText="1"/>
    </xf>
    <xf numFmtId="0" fontId="128" fillId="0" borderId="190" xfId="19" applyBorder="1" applyAlignment="1">
      <alignment horizontal="center" vertical="center"/>
    </xf>
    <xf numFmtId="58" fontId="221" fillId="0" borderId="194" xfId="19" applyNumberFormat="1" applyFont="1" applyBorder="1" applyAlignment="1">
      <alignment horizontal="center" vertical="center"/>
    </xf>
    <xf numFmtId="58" fontId="221" fillId="0" borderId="194" xfId="19" applyNumberFormat="1" applyFont="1" applyBorder="1" applyAlignment="1">
      <alignment horizontal="center" vertical="center" wrapText="1"/>
    </xf>
    <xf numFmtId="0" fontId="19" fillId="0" borderId="15" xfId="19" applyFont="1" applyBorder="1" applyAlignment="1" applyProtection="1">
      <alignment horizontal="center" vertical="center" wrapText="1"/>
      <protection locked="0"/>
    </xf>
    <xf numFmtId="0" fontId="221" fillId="0" borderId="194" xfId="19" applyFont="1" applyBorder="1" applyAlignment="1">
      <alignment horizontal="center" vertical="center"/>
    </xf>
    <xf numFmtId="0" fontId="3" fillId="0" borderId="190" xfId="19" applyFont="1" applyBorder="1" applyAlignment="1">
      <alignment horizontal="center" vertical="center"/>
    </xf>
    <xf numFmtId="179" fontId="221" fillId="0" borderId="190" xfId="19" applyNumberFormat="1" applyFont="1" applyBorder="1" applyAlignment="1">
      <alignment horizontal="center" vertical="center"/>
    </xf>
    <xf numFmtId="14" fontId="221" fillId="0" borderId="194" xfId="19" applyNumberFormat="1" applyFont="1" applyBorder="1" applyAlignment="1">
      <alignment horizontal="center" vertical="center"/>
    </xf>
    <xf numFmtId="179" fontId="221" fillId="0" borderId="190" xfId="19" applyNumberFormat="1" applyFont="1" applyBorder="1" applyAlignment="1">
      <alignment horizontal="center" vertical="center" wrapText="1"/>
    </xf>
    <xf numFmtId="0" fontId="221" fillId="0" borderId="194" xfId="19" applyFont="1" applyBorder="1" applyAlignment="1">
      <alignment horizontal="center" vertical="center" wrapText="1"/>
    </xf>
    <xf numFmtId="0" fontId="221" fillId="0" borderId="190" xfId="19" applyFont="1" applyBorder="1" applyAlignment="1">
      <alignment horizontal="center" vertical="center"/>
    </xf>
    <xf numFmtId="0" fontId="221" fillId="0" borderId="190" xfId="19" applyFont="1" applyBorder="1" applyAlignment="1">
      <alignment horizontal="center" vertical="center"/>
    </xf>
    <xf numFmtId="179" fontId="221" fillId="0" borderId="194" xfId="19" applyNumberFormat="1" applyFont="1" applyBorder="1" applyAlignment="1">
      <alignment horizontal="center" vertical="center" wrapText="1"/>
    </xf>
    <xf numFmtId="0" fontId="77" fillId="0" borderId="190" xfId="19" applyFont="1" applyBorder="1" applyAlignment="1">
      <alignment horizontal="center" vertical="center"/>
    </xf>
    <xf numFmtId="0" fontId="128" fillId="0" borderId="190" xfId="19" applyBorder="1" applyAlignment="1">
      <alignment horizontal="center" vertical="center"/>
    </xf>
    <xf numFmtId="58" fontId="221" fillId="0" borderId="190" xfId="19" applyNumberFormat="1" applyFont="1" applyBorder="1" applyAlignment="1">
      <alignment horizontal="center" vertical="center"/>
    </xf>
    <xf numFmtId="58" fontId="221" fillId="0" borderId="2" xfId="19" applyNumberFormat="1" applyFont="1" applyBorder="1" applyAlignment="1">
      <alignment horizontal="center" vertical="center"/>
    </xf>
    <xf numFmtId="58" fontId="221" fillId="0" borderId="2" xfId="19" applyNumberFormat="1" applyFont="1" applyBorder="1" applyAlignment="1">
      <alignment horizontal="center" vertical="center" wrapText="1"/>
    </xf>
    <xf numFmtId="0" fontId="19" fillId="0" borderId="2" xfId="19" applyFont="1" applyBorder="1" applyAlignment="1" applyProtection="1">
      <alignment horizontal="center" vertical="center" wrapText="1"/>
      <protection locked="0"/>
    </xf>
    <xf numFmtId="0" fontId="221" fillId="0" borderId="15" xfId="19" applyFont="1" applyBorder="1" applyAlignment="1">
      <alignment horizontal="center" vertical="center"/>
    </xf>
    <xf numFmtId="14" fontId="221" fillId="0" borderId="2" xfId="19" applyNumberFormat="1" applyFont="1" applyBorder="1" applyAlignment="1">
      <alignment horizontal="center" vertical="center"/>
    </xf>
    <xf numFmtId="0" fontId="221" fillId="0" borderId="15" xfId="19" applyFont="1" applyBorder="1" applyAlignment="1">
      <alignment horizontal="center" vertical="center" wrapText="1"/>
    </xf>
    <xf numFmtId="0" fontId="221" fillId="0" borderId="2" xfId="19" applyFont="1" applyBorder="1" applyAlignment="1">
      <alignment horizontal="center" vertical="center"/>
    </xf>
    <xf numFmtId="179" fontId="221" fillId="0" borderId="2" xfId="19" applyNumberFormat="1" applyFont="1" applyBorder="1" applyAlignment="1">
      <alignment horizontal="center" vertical="center" wrapText="1"/>
    </xf>
    <xf numFmtId="0" fontId="77" fillId="0" borderId="194" xfId="19" applyFont="1" applyBorder="1" applyAlignment="1">
      <alignment horizontal="center" vertical="center"/>
    </xf>
    <xf numFmtId="58" fontId="221" fillId="0" borderId="190" xfId="19" applyNumberFormat="1" applyFont="1" applyBorder="1" applyAlignment="1">
      <alignment horizontal="center" vertical="center" wrapText="1"/>
    </xf>
    <xf numFmtId="40" fontId="19" fillId="0" borderId="190" xfId="19" applyNumberFormat="1" applyFont="1" applyBorder="1" applyAlignment="1">
      <alignment horizontal="center" vertical="center" wrapText="1"/>
    </xf>
    <xf numFmtId="0" fontId="221" fillId="0" borderId="194" xfId="19" applyFont="1" applyBorder="1" applyAlignment="1">
      <alignment horizontal="center" vertical="center"/>
    </xf>
    <xf numFmtId="14" fontId="221" fillId="0" borderId="190" xfId="19" applyNumberFormat="1" applyFont="1" applyBorder="1" applyAlignment="1">
      <alignment horizontal="center" vertical="center"/>
    </xf>
    <xf numFmtId="179" fontId="3" fillId="0" borderId="190" xfId="19" applyNumberFormat="1" applyFont="1" applyBorder="1" applyAlignment="1">
      <alignment horizontal="center" vertical="center" wrapText="1"/>
    </xf>
    <xf numFmtId="9" fontId="221" fillId="0" borderId="194" xfId="19" applyNumberFormat="1" applyFont="1" applyBorder="1" applyAlignment="1">
      <alignment horizontal="center" vertical="center"/>
    </xf>
    <xf numFmtId="0" fontId="77" fillId="0" borderId="190" xfId="10" applyFont="1" applyBorder="1" applyAlignment="1">
      <alignment horizontal="center" vertical="center" wrapText="1"/>
    </xf>
    <xf numFmtId="0" fontId="128" fillId="0" borderId="195" xfId="19" applyBorder="1" applyAlignment="1">
      <alignment horizontal="center" vertical="center"/>
    </xf>
    <xf numFmtId="40" fontId="19" fillId="0" borderId="194" xfId="19" applyNumberFormat="1" applyFont="1" applyBorder="1" applyAlignment="1">
      <alignment horizontal="center" vertical="center"/>
    </xf>
    <xf numFmtId="40" fontId="19" fillId="0" borderId="194" xfId="19" applyNumberFormat="1" applyFont="1" applyBorder="1" applyAlignment="1">
      <alignment horizontal="center" vertical="center" wrapText="1"/>
    </xf>
    <xf numFmtId="14" fontId="262" fillId="0" borderId="194" xfId="19" applyNumberFormat="1" applyFont="1" applyBorder="1" applyAlignment="1">
      <alignment horizontal="center" vertical="center"/>
    </xf>
    <xf numFmtId="179" fontId="262" fillId="0" borderId="190" xfId="19" applyNumberFormat="1" applyFont="1" applyBorder="1" applyAlignment="1">
      <alignment horizontal="center" vertical="center"/>
    </xf>
    <xf numFmtId="0" fontId="262" fillId="0" borderId="194" xfId="19" applyFont="1" applyBorder="1" applyAlignment="1">
      <alignment horizontal="center" vertical="center"/>
    </xf>
    <xf numFmtId="0" fontId="77" fillId="0" borderId="190" xfId="10" applyFont="1" applyBorder="1" applyAlignment="1">
      <alignment horizontal="center" vertical="center" wrapText="1"/>
    </xf>
    <xf numFmtId="179" fontId="262" fillId="0" borderId="194" xfId="19" applyNumberFormat="1" applyFont="1" applyBorder="1" applyAlignment="1">
      <alignment horizontal="center" vertical="center"/>
    </xf>
    <xf numFmtId="0" fontId="77" fillId="0" borderId="193" xfId="19" applyFont="1" applyBorder="1" applyAlignment="1">
      <alignment horizontal="center" vertical="center"/>
    </xf>
    <xf numFmtId="40" fontId="19" fillId="0" borderId="2" xfId="19" applyNumberFormat="1" applyFont="1" applyBorder="1" applyAlignment="1">
      <alignment horizontal="center" vertical="center"/>
    </xf>
    <xf numFmtId="40" fontId="19" fillId="0" borderId="2" xfId="19" applyNumberFormat="1" applyFont="1" applyBorder="1" applyAlignment="1">
      <alignment horizontal="center" vertical="center" wrapText="1"/>
    </xf>
    <xf numFmtId="179" fontId="262" fillId="0" borderId="190" xfId="19" applyNumberFormat="1" applyFont="1" applyBorder="1" applyAlignment="1">
      <alignment horizontal="center" vertical="center"/>
    </xf>
    <xf numFmtId="14" fontId="262" fillId="0" borderId="2" xfId="19" applyNumberFormat="1" applyFont="1" applyBorder="1" applyAlignment="1">
      <alignment horizontal="center" vertical="center"/>
    </xf>
    <xf numFmtId="0" fontId="262" fillId="0" borderId="2" xfId="19" applyFont="1" applyBorder="1" applyAlignment="1">
      <alignment horizontal="center" vertical="center"/>
    </xf>
    <xf numFmtId="179" fontId="262" fillId="0" borderId="2" xfId="19" applyNumberFormat="1" applyFont="1" applyBorder="1" applyAlignment="1">
      <alignment horizontal="center" vertical="center"/>
    </xf>
    <xf numFmtId="14" fontId="262" fillId="0" borderId="190" xfId="19" applyNumberFormat="1" applyFont="1" applyBorder="1" applyAlignment="1">
      <alignment horizontal="center" vertical="center"/>
    </xf>
    <xf numFmtId="0" fontId="262" fillId="0" borderId="190" xfId="19" applyFont="1" applyBorder="1" applyAlignment="1">
      <alignment horizontal="center" vertical="center" wrapText="1"/>
    </xf>
    <xf numFmtId="0" fontId="262" fillId="0" borderId="190" xfId="19" applyFont="1" applyBorder="1" applyAlignment="1">
      <alignment horizontal="center" vertical="center"/>
    </xf>
    <xf numFmtId="0" fontId="221" fillId="0" borderId="190" xfId="19" applyFont="1" applyBorder="1" applyAlignment="1">
      <alignment horizontal="center" vertical="center" wrapText="1"/>
    </xf>
    <xf numFmtId="40" fontId="19" fillId="0" borderId="190" xfId="19" applyNumberFormat="1" applyFont="1" applyBorder="1" applyAlignment="1">
      <alignment horizontal="center" vertical="center"/>
    </xf>
    <xf numFmtId="0" fontId="19" fillId="0" borderId="190" xfId="19" applyFont="1" applyBorder="1" applyAlignment="1" applyProtection="1">
      <alignment horizontal="center" vertical="center"/>
      <protection locked="0"/>
    </xf>
    <xf numFmtId="40" fontId="19" fillId="0" borderId="190" xfId="19" applyNumberFormat="1" applyFont="1" applyBorder="1">
      <alignment vertical="center"/>
    </xf>
    <xf numFmtId="0" fontId="221" fillId="0" borderId="0" xfId="19" applyFont="1" applyAlignment="1">
      <alignment horizontal="center" vertical="center"/>
    </xf>
    <xf numFmtId="0" fontId="221" fillId="0" borderId="0" xfId="19" applyFont="1">
      <alignment vertical="center"/>
    </xf>
    <xf numFmtId="0" fontId="107" fillId="0" borderId="0" xfId="10" applyFont="1">
      <alignment vertical="center"/>
    </xf>
    <xf numFmtId="0" fontId="19" fillId="0" borderId="0" xfId="10" applyFont="1" applyAlignment="1">
      <alignment horizontal="left" vertical="center"/>
    </xf>
    <xf numFmtId="0" fontId="278" fillId="0" borderId="0" xfId="10" applyFont="1" applyAlignment="1">
      <alignment horizontal="left" vertical="center"/>
    </xf>
    <xf numFmtId="179" fontId="95" fillId="0" borderId="0" xfId="10" applyNumberFormat="1">
      <alignment vertical="center"/>
    </xf>
    <xf numFmtId="9" fontId="47" fillId="12" borderId="0" xfId="17" applyFont="1" applyFill="1" applyProtection="1">
      <alignment vertical="center"/>
      <protection locked="0"/>
    </xf>
    <xf numFmtId="9" fontId="47" fillId="12" borderId="0" xfId="0" applyNumberFormat="1" applyFont="1" applyFill="1" applyProtection="1">
      <alignment vertical="center"/>
      <protection locked="0"/>
    </xf>
    <xf numFmtId="197" fontId="0" fillId="0" borderId="0" xfId="0" applyNumberFormat="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Sheet1" xfId="19" xr:uid="{04162BD8-05A5-4F13-AD04-261357F89F8F}"/>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28229</xdr:colOff>
      <xdr:row>16</xdr:row>
      <xdr:rowOff>94895</xdr:rowOff>
    </xdr:to>
    <xdr:pic>
      <xdr:nvPicPr>
        <xdr:cNvPr id="2" name="图片 1">
          <a:extLst>
            <a:ext uri="{FF2B5EF4-FFF2-40B4-BE49-F238E27FC236}">
              <a16:creationId xmlns:a16="http://schemas.microsoft.com/office/drawing/2014/main" id="{035C1425-5257-F35F-759F-3D9B7C09B8AC}"/>
            </a:ext>
          </a:extLst>
        </xdr:cNvPr>
        <xdr:cNvPicPr>
          <a:picLocks noChangeAspect="1"/>
        </xdr:cNvPicPr>
      </xdr:nvPicPr>
      <xdr:blipFill>
        <a:blip xmlns:r="http://schemas.openxmlformats.org/officeDocument/2006/relationships" r:embed="rId1"/>
        <a:stretch>
          <a:fillRect/>
        </a:stretch>
      </xdr:blipFill>
      <xdr:spPr>
        <a:xfrm>
          <a:off x="0" y="0"/>
          <a:ext cx="2771429" cy="2838095"/>
        </a:xfrm>
        <a:prstGeom prst="rect">
          <a:avLst/>
        </a:prstGeom>
      </xdr:spPr>
    </xdr:pic>
    <xdr:clientData/>
  </xdr:twoCellAnchor>
  <xdr:twoCellAnchor editAs="oneCell">
    <xdr:from>
      <xdr:col>4</xdr:col>
      <xdr:colOff>152400</xdr:colOff>
      <xdr:row>0</xdr:row>
      <xdr:rowOff>0</xdr:rowOff>
    </xdr:from>
    <xdr:to>
      <xdr:col>20</xdr:col>
      <xdr:colOff>246031</xdr:colOff>
      <xdr:row>32</xdr:row>
      <xdr:rowOff>79364</xdr:rowOff>
    </xdr:to>
    <xdr:pic>
      <xdr:nvPicPr>
        <xdr:cNvPr id="3" name="图片 2">
          <a:extLst>
            <a:ext uri="{FF2B5EF4-FFF2-40B4-BE49-F238E27FC236}">
              <a16:creationId xmlns:a16="http://schemas.microsoft.com/office/drawing/2014/main" id="{41AD3393-A52C-BA7E-EEB6-C3E56ACD2F32}"/>
            </a:ext>
          </a:extLst>
        </xdr:cNvPr>
        <xdr:cNvPicPr>
          <a:picLocks noChangeAspect="1"/>
        </xdr:cNvPicPr>
      </xdr:nvPicPr>
      <xdr:blipFill>
        <a:blip xmlns:r="http://schemas.openxmlformats.org/officeDocument/2006/relationships" r:embed="rId2"/>
        <a:stretch>
          <a:fillRect/>
        </a:stretch>
      </xdr:blipFill>
      <xdr:spPr>
        <a:xfrm>
          <a:off x="2895600" y="0"/>
          <a:ext cx="11066431" cy="5565764"/>
        </a:xfrm>
        <a:prstGeom prst="rect">
          <a:avLst/>
        </a:prstGeom>
      </xdr:spPr>
    </xdr:pic>
    <xdr:clientData/>
  </xdr:twoCellAnchor>
  <xdr:twoCellAnchor editAs="oneCell">
    <xdr:from>
      <xdr:col>0</xdr:col>
      <xdr:colOff>0</xdr:colOff>
      <xdr:row>32</xdr:row>
      <xdr:rowOff>133350</xdr:rowOff>
    </xdr:from>
    <xdr:to>
      <xdr:col>16</xdr:col>
      <xdr:colOff>246247</xdr:colOff>
      <xdr:row>45</xdr:row>
      <xdr:rowOff>104500</xdr:rowOff>
    </xdr:to>
    <xdr:pic>
      <xdr:nvPicPr>
        <xdr:cNvPr id="4" name="图片 3">
          <a:extLst>
            <a:ext uri="{FF2B5EF4-FFF2-40B4-BE49-F238E27FC236}">
              <a16:creationId xmlns:a16="http://schemas.microsoft.com/office/drawing/2014/main" id="{5F7B1FA3-C6BB-4D84-CE24-F6DD49286A17}"/>
            </a:ext>
          </a:extLst>
        </xdr:cNvPr>
        <xdr:cNvPicPr>
          <a:picLocks noChangeAspect="1"/>
        </xdr:cNvPicPr>
      </xdr:nvPicPr>
      <xdr:blipFill>
        <a:blip xmlns:r="http://schemas.openxmlformats.org/officeDocument/2006/relationships" r:embed="rId3"/>
        <a:stretch>
          <a:fillRect/>
        </a:stretch>
      </xdr:blipFill>
      <xdr:spPr>
        <a:xfrm>
          <a:off x="0" y="5619750"/>
          <a:ext cx="11219047" cy="2200000"/>
        </a:xfrm>
        <a:prstGeom prst="rect">
          <a:avLst/>
        </a:prstGeom>
      </xdr:spPr>
    </xdr:pic>
    <xdr:clientData/>
  </xdr:twoCellAnchor>
  <xdr:twoCellAnchor editAs="oneCell">
    <xdr:from>
      <xdr:col>20</xdr:col>
      <xdr:colOff>314325</xdr:colOff>
      <xdr:row>0</xdr:row>
      <xdr:rowOff>0</xdr:rowOff>
    </xdr:from>
    <xdr:to>
      <xdr:col>25</xdr:col>
      <xdr:colOff>85325</xdr:colOff>
      <xdr:row>37</xdr:row>
      <xdr:rowOff>75398</xdr:rowOff>
    </xdr:to>
    <xdr:pic>
      <xdr:nvPicPr>
        <xdr:cNvPr id="5" name="图片 4">
          <a:extLst>
            <a:ext uri="{FF2B5EF4-FFF2-40B4-BE49-F238E27FC236}">
              <a16:creationId xmlns:a16="http://schemas.microsoft.com/office/drawing/2014/main" id="{C1F66A46-F106-FAC9-CA5A-498841A3DA89}"/>
            </a:ext>
          </a:extLst>
        </xdr:cNvPr>
        <xdr:cNvPicPr>
          <a:picLocks noChangeAspect="1"/>
        </xdr:cNvPicPr>
      </xdr:nvPicPr>
      <xdr:blipFill>
        <a:blip xmlns:r="http://schemas.openxmlformats.org/officeDocument/2006/relationships" r:embed="rId4"/>
        <a:stretch>
          <a:fillRect/>
        </a:stretch>
      </xdr:blipFill>
      <xdr:spPr>
        <a:xfrm>
          <a:off x="14030325" y="0"/>
          <a:ext cx="3200000" cy="6419048"/>
        </a:xfrm>
        <a:prstGeom prst="rect">
          <a:avLst/>
        </a:prstGeom>
      </xdr:spPr>
    </xdr:pic>
    <xdr:clientData/>
  </xdr:twoCellAnchor>
  <xdr:twoCellAnchor editAs="oneCell">
    <xdr:from>
      <xdr:col>0</xdr:col>
      <xdr:colOff>0</xdr:colOff>
      <xdr:row>45</xdr:row>
      <xdr:rowOff>66675</xdr:rowOff>
    </xdr:from>
    <xdr:to>
      <xdr:col>17</xdr:col>
      <xdr:colOff>341400</xdr:colOff>
      <xdr:row>83</xdr:row>
      <xdr:rowOff>94432</xdr:rowOff>
    </xdr:to>
    <xdr:pic>
      <xdr:nvPicPr>
        <xdr:cNvPr id="6" name="图片 5">
          <a:extLst>
            <a:ext uri="{FF2B5EF4-FFF2-40B4-BE49-F238E27FC236}">
              <a16:creationId xmlns:a16="http://schemas.microsoft.com/office/drawing/2014/main" id="{46574A54-0CCE-DE8F-5203-63A8467C766A}"/>
            </a:ext>
          </a:extLst>
        </xdr:cNvPr>
        <xdr:cNvPicPr>
          <a:picLocks noChangeAspect="1"/>
        </xdr:cNvPicPr>
      </xdr:nvPicPr>
      <xdr:blipFill>
        <a:blip xmlns:r="http://schemas.openxmlformats.org/officeDocument/2006/relationships" r:embed="rId5"/>
        <a:stretch>
          <a:fillRect/>
        </a:stretch>
      </xdr:blipFill>
      <xdr:spPr>
        <a:xfrm>
          <a:off x="0" y="7781925"/>
          <a:ext cx="12000000" cy="6542857"/>
        </a:xfrm>
        <a:prstGeom prst="rect">
          <a:avLst/>
        </a:prstGeom>
      </xdr:spPr>
    </xdr:pic>
    <xdr:clientData/>
  </xdr:twoCellAnchor>
  <xdr:twoCellAnchor editAs="oneCell">
    <xdr:from>
      <xdr:col>22</xdr:col>
      <xdr:colOff>266700</xdr:colOff>
      <xdr:row>39</xdr:row>
      <xdr:rowOff>57150</xdr:rowOff>
    </xdr:from>
    <xdr:to>
      <xdr:col>26</xdr:col>
      <xdr:colOff>75881</xdr:colOff>
      <xdr:row>51</xdr:row>
      <xdr:rowOff>47369</xdr:rowOff>
    </xdr:to>
    <xdr:pic>
      <xdr:nvPicPr>
        <xdr:cNvPr id="7" name="图片 6">
          <a:extLst>
            <a:ext uri="{FF2B5EF4-FFF2-40B4-BE49-F238E27FC236}">
              <a16:creationId xmlns:a16="http://schemas.microsoft.com/office/drawing/2014/main" id="{FB88BF46-B164-4410-4374-9D8770474C98}"/>
            </a:ext>
          </a:extLst>
        </xdr:cNvPr>
        <xdr:cNvPicPr>
          <a:picLocks noChangeAspect="1"/>
        </xdr:cNvPicPr>
      </xdr:nvPicPr>
      <xdr:blipFill>
        <a:blip xmlns:r="http://schemas.openxmlformats.org/officeDocument/2006/relationships" r:embed="rId6"/>
        <a:stretch>
          <a:fillRect/>
        </a:stretch>
      </xdr:blipFill>
      <xdr:spPr>
        <a:xfrm>
          <a:off x="15354300" y="6743700"/>
          <a:ext cx="2552381" cy="2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408152</xdr:colOff>
      <xdr:row>38</xdr:row>
      <xdr:rowOff>142043</xdr:rowOff>
    </xdr:to>
    <xdr:pic>
      <xdr:nvPicPr>
        <xdr:cNvPr id="2" name="图片 1">
          <a:extLst>
            <a:ext uri="{FF2B5EF4-FFF2-40B4-BE49-F238E27FC236}">
              <a16:creationId xmlns:a16="http://schemas.microsoft.com/office/drawing/2014/main" id="{BB37F65B-5BAA-CE4E-82BA-AE38F66BE225}"/>
            </a:ext>
          </a:extLst>
        </xdr:cNvPr>
        <xdr:cNvPicPr>
          <a:picLocks noChangeAspect="1"/>
        </xdr:cNvPicPr>
      </xdr:nvPicPr>
      <xdr:blipFill>
        <a:blip xmlns:r="http://schemas.openxmlformats.org/officeDocument/2006/relationships" r:embed="rId1"/>
        <a:stretch>
          <a:fillRect/>
        </a:stretch>
      </xdr:blipFill>
      <xdr:spPr>
        <a:xfrm>
          <a:off x="0" y="0"/>
          <a:ext cx="11380952" cy="6657143"/>
        </a:xfrm>
        <a:prstGeom prst="rect">
          <a:avLst/>
        </a:prstGeom>
      </xdr:spPr>
    </xdr:pic>
    <xdr:clientData/>
  </xdr:twoCellAnchor>
  <xdr:twoCellAnchor editAs="oneCell">
    <xdr:from>
      <xdr:col>16</xdr:col>
      <xdr:colOff>581025</xdr:colOff>
      <xdr:row>0</xdr:row>
      <xdr:rowOff>0</xdr:rowOff>
    </xdr:from>
    <xdr:to>
      <xdr:col>22</xdr:col>
      <xdr:colOff>532892</xdr:colOff>
      <xdr:row>33</xdr:row>
      <xdr:rowOff>161198</xdr:rowOff>
    </xdr:to>
    <xdr:pic>
      <xdr:nvPicPr>
        <xdr:cNvPr id="3" name="图片 2">
          <a:extLst>
            <a:ext uri="{FF2B5EF4-FFF2-40B4-BE49-F238E27FC236}">
              <a16:creationId xmlns:a16="http://schemas.microsoft.com/office/drawing/2014/main" id="{B332C230-05D4-9B9A-CE2F-22DBF1320438}"/>
            </a:ext>
          </a:extLst>
        </xdr:cNvPr>
        <xdr:cNvPicPr>
          <a:picLocks noChangeAspect="1"/>
        </xdr:cNvPicPr>
      </xdr:nvPicPr>
      <xdr:blipFill>
        <a:blip xmlns:r="http://schemas.openxmlformats.org/officeDocument/2006/relationships" r:embed="rId2"/>
        <a:stretch>
          <a:fillRect/>
        </a:stretch>
      </xdr:blipFill>
      <xdr:spPr>
        <a:xfrm>
          <a:off x="11553825" y="0"/>
          <a:ext cx="4066667" cy="5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9525</xdr:rowOff>
    </xdr:from>
    <xdr:to>
      <xdr:col>1</xdr:col>
      <xdr:colOff>755650</xdr:colOff>
      <xdr:row>0</xdr:row>
      <xdr:rowOff>360680</xdr:rowOff>
    </xdr:to>
    <xdr:pic>
      <xdr:nvPicPr>
        <xdr:cNvPr id="2" name="图片 1" descr="山水logo.png">
          <a:extLst>
            <a:ext uri="{FF2B5EF4-FFF2-40B4-BE49-F238E27FC236}">
              <a16:creationId xmlns:a16="http://schemas.microsoft.com/office/drawing/2014/main" id="{F94E8408-3BC9-47D5-ABE6-7FCEB1CB0DB7}"/>
            </a:ext>
          </a:extLst>
        </xdr:cNvPr>
        <xdr:cNvPicPr>
          <a:picLocks noChangeAspect="1"/>
        </xdr:cNvPicPr>
      </xdr:nvPicPr>
      <xdr:blipFill>
        <a:blip xmlns:r="http://schemas.openxmlformats.org/officeDocument/2006/relationships" r:embed="rId1" cstate="print"/>
        <a:stretch>
          <a:fillRect/>
        </a:stretch>
      </xdr:blipFill>
      <xdr:spPr>
        <a:xfrm>
          <a:off x="114300" y="9525"/>
          <a:ext cx="1079500" cy="351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估价对象为北京市房地产，为所有。根据《国有土地使用证》[]，估价对象（分摊）出让国有建设用地使用权面积为0平方米，建筑面积为8789.66平方米。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估价对象为北京市房地产,属开发建设的，该项目尚在开发建设中。根据《国有土地使用证》[]，估价对象（分摊）出让国有建设用地使用权面积为0平方米，规划建筑面积为8789.66平方米。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2025年7月24日（评估专业人员实地查勘之日）</v>
      </c>
    </row>
    <row r="13" spans="1:2">
      <c r="A13" s="1119" t="s">
        <v>529</v>
      </c>
      <c r="B13" s="1120"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14322</v>
      </c>
    </row>
    <row r="21" spans="1:2">
      <c r="A21" s="1119" t="s">
        <v>537</v>
      </c>
      <c r="B21" s="1120">
        <f ca="1">'预评函-2'!D7</f>
        <v>16294</v>
      </c>
    </row>
    <row r="22" spans="1:2">
      <c r="A22" s="1119" t="s">
        <v>538</v>
      </c>
      <c r="B22" s="1120" t="str">
        <f ca="1">'预评函-2'!D6</f>
        <v>壹亿肆仟叁佰贰拾贰万元整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14322</v>
      </c>
    </row>
    <row r="31" spans="1:2">
      <c r="A31" s="1119" t="s">
        <v>576</v>
      </c>
      <c r="B31" s="1120">
        <f ca="1">'预评函-2'!D15</f>
        <v>16294</v>
      </c>
    </row>
    <row r="32" spans="1:2">
      <c r="A32" s="1119" t="s">
        <v>543</v>
      </c>
      <c r="B32" s="1120" t="str">
        <f ca="1">'预评函-2'!D14</f>
        <v>壹亿肆仟叁佰贰拾贰万元整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8789.66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11128</v>
      </c>
    </row>
    <row r="48" spans="1:2">
      <c r="A48" s="1119" t="s">
        <v>549</v>
      </c>
      <c r="B48" s="1120">
        <f ca="1">'预评函-3'!E4</f>
        <v>12660</v>
      </c>
    </row>
    <row r="49" spans="1:2">
      <c r="A49" s="1119" t="s">
        <v>550</v>
      </c>
      <c r="B49" s="1120" t="str">
        <f ca="1">'预评函-3'!D5</f>
        <v>壹亿壹仟壹佰贰拾捌万元整</v>
      </c>
    </row>
    <row r="50" spans="1:2">
      <c r="A50" s="1119" t="s">
        <v>574</v>
      </c>
      <c r="B50" s="1120" t="str">
        <f>'预评函-3'!F2</f>
        <v>在建建筑物价值</v>
      </c>
    </row>
    <row r="51" spans="1:2">
      <c r="A51" s="1119" t="s">
        <v>551</v>
      </c>
      <c r="B51" s="1120">
        <f ca="1">'预评函-3'!F4</f>
        <v>3194</v>
      </c>
    </row>
    <row r="52" spans="1:2">
      <c r="A52" s="1119" t="s">
        <v>552</v>
      </c>
      <c r="B52" s="1120">
        <f ca="1">'预评函-3'!G4</f>
        <v>3634</v>
      </c>
    </row>
    <row r="53" spans="1:2">
      <c r="A53" s="1119" t="s">
        <v>580</v>
      </c>
      <c r="B53" s="1120" t="str">
        <f ca="1">'预评函-3'!F5</f>
        <v>叁仟壹佰玖拾肆万元整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2" t="s">
        <v>2580</v>
      </c>
      <c r="J2" s="3212"/>
      <c r="K2" s="3212"/>
      <c r="L2" s="3212"/>
      <c r="M2" s="3212"/>
      <c r="N2" s="3212"/>
      <c r="O2" s="3212"/>
      <c r="P2" s="3212"/>
      <c r="Q2" s="3212"/>
      <c r="R2" s="3212"/>
    </row>
    <row r="3" spans="1:18">
      <c r="A3" s="2763" t="s">
        <v>2501</v>
      </c>
      <c r="B3" s="2764">
        <f>项目基本情况!D3</f>
        <v>45862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v>
      </c>
      <c r="D5" s="2768">
        <f>IF(ISERROR(ROUND(POWER(1+E5,A5-C5)*(POWER(1+E5,C5)-1)/(POWER(1+E5,A5)-1),3)),0,ROUND(POWER(1+E5,A5-C5)*(POWER(1+E5,C5)-1)/(POWER(1+E5,A5)-1),4))</f>
        <v>6.7500000000000004E-2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11.41</v>
      </c>
      <c r="D6" s="2768">
        <f>IF(ISERROR(ROUND(POWER(1+E6,A6-C6)*(POWER(1+E6,C6)-1)/(POWER(1+E6,A6)-1),3)),0,ROUND(POWER(1+E6,A6-C6)*(POWER(1+E6,C6)-1)/(POWER(1+E6,A6)-1),4))</f>
        <v>0.4199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31.42</v>
      </c>
      <c r="D7" s="2768">
        <f>IF(ISERROR(ROUND(POWER(1+E7,A7-C7)*(POWER(1+E7,C7)-1)/(POWER(1+E7,A7)-1),3)),0,ROUND(POWER(1+E7,A7-C7)*(POWER(1+E7,C7)-1)/(POWER(1+E7,A7)-1),4))</f>
        <v>0.75700000000000001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45862</v>
      </c>
      <c r="C3" s="2186" t="s">
        <v>2171</v>
      </c>
      <c r="D3" s="2185">
        <v>45862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3418</v>
      </c>
      <c r="C8" s="2201"/>
      <c r="D8" s="3216" t="s">
        <v>2177</v>
      </c>
      <c r="E8" s="2202" t="s">
        <v>3419</v>
      </c>
      <c r="F8" s="2203"/>
      <c r="G8" s="2442"/>
      <c r="H8" s="2442"/>
      <c r="I8" s="2442"/>
      <c r="J8" s="2245"/>
      <c r="K8" s="2400"/>
      <c r="L8" s="2399"/>
      <c r="M8" s="2399"/>
      <c r="N8" s="2245"/>
      <c r="O8" s="1670"/>
      <c r="P8" s="2245"/>
      <c r="Q8" s="2245"/>
      <c r="R8" s="2245"/>
    </row>
    <row r="9" spans="1:30" ht="13.5" thickBot="1">
      <c r="A9" s="2204" t="s">
        <v>2178</v>
      </c>
      <c r="B9" s="2205" t="s">
        <v>3419</v>
      </c>
      <c r="C9" s="2206"/>
      <c r="D9" s="3217"/>
      <c r="E9" s="2205" t="s">
        <v>43</v>
      </c>
      <c r="F9" s="2207"/>
      <c r="G9" s="2443"/>
      <c r="H9" s="2443"/>
      <c r="I9" s="2443"/>
      <c r="J9" s="2245"/>
      <c r="K9" s="2402"/>
      <c r="L9" s="2399"/>
      <c r="M9" s="2399"/>
      <c r="N9" s="2245"/>
      <c r="O9" s="1670"/>
      <c r="P9" s="2245"/>
      <c r="Q9" s="2245"/>
      <c r="R9" s="2245"/>
    </row>
    <row r="10" spans="1:30" ht="13.5" thickTop="1">
      <c r="A10" s="2208" t="s">
        <v>2179</v>
      </c>
      <c r="B10" s="2209" t="s">
        <v>3420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52432</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3"/>
      <c r="C16" s="3224"/>
      <c r="D16" s="3225"/>
      <c r="E16" s="2222" t="s">
        <v>2194</v>
      </c>
      <c r="F16" s="3226"/>
      <c r="G16" s="3227"/>
      <c r="H16" s="3227"/>
      <c r="I16" s="3228"/>
      <c r="J16" s="2245"/>
      <c r="K16" s="2403"/>
      <c r="L16" s="1670"/>
      <c r="M16" s="1670"/>
      <c r="N16" s="2245"/>
      <c r="O16" s="1670"/>
      <c r="P16" s="2245"/>
      <c r="Q16" s="2245"/>
      <c r="R16" s="2245"/>
    </row>
    <row r="17" spans="1:28">
      <c r="A17" s="305" t="s">
        <v>2195</v>
      </c>
      <c r="B17" s="294" t="s">
        <v>2196</v>
      </c>
      <c r="C17" s="8">
        <f>'数据-汇总表'!E3</f>
        <v>8789.66</v>
      </c>
      <c r="D17" s="1256" t="s">
        <v>2197</v>
      </c>
      <c r="E17" s="3229" t="s">
        <v>2198</v>
      </c>
      <c r="F17" s="3230"/>
      <c r="G17" s="3230"/>
      <c r="H17" s="3230"/>
      <c r="I17" s="323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2" t="s">
        <v>2202</v>
      </c>
      <c r="F18" s="3233"/>
      <c r="G18" s="3233"/>
      <c r="H18" s="3233"/>
      <c r="I18" s="323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9" t="s">
        <v>2206</v>
      </c>
      <c r="C20" s="3220"/>
      <c r="D20" s="3221" t="s">
        <v>2207</v>
      </c>
      <c r="E20" s="3222"/>
      <c r="F20" s="2430" t="s">
        <v>1056</v>
      </c>
      <c r="G20" s="2442"/>
      <c r="H20" s="2442"/>
      <c r="I20" s="2442"/>
      <c r="J20" s="2245"/>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7"/>
      <c r="B30" s="294" t="s">
        <v>2218</v>
      </c>
      <c r="C30" s="3238"/>
      <c r="D30" s="3239"/>
      <c r="E30" s="2442"/>
      <c r="F30" s="2442"/>
      <c r="G30" s="2442"/>
      <c r="H30" s="2442"/>
      <c r="I30" s="2442"/>
      <c r="J30" s="2245"/>
      <c r="K30" s="2402"/>
      <c r="L30" s="2399"/>
      <c r="M30" s="2399"/>
      <c r="N30" s="2245"/>
      <c r="O30" s="1670"/>
      <c r="P30" s="2245"/>
      <c r="Q30" s="2245"/>
      <c r="R30" s="2245"/>
      <c r="S30" s="2245"/>
      <c r="T30" s="2245"/>
      <c r="U30" s="2245"/>
      <c r="V30" s="2245"/>
    </row>
    <row r="31" spans="1:28">
      <c r="A31" s="324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5" t="s">
        <v>2228</v>
      </c>
      <c r="T34" s="315" t="str">
        <f>NUMBERSTRING(7-K34,1)&amp;"通"</f>
        <v>七通</v>
      </c>
      <c r="U34" s="2245"/>
      <c r="V34" s="2245"/>
    </row>
    <row r="35" spans="1:30">
      <c r="A35" s="2236"/>
      <c r="B35" s="3235" t="s">
        <v>2229</v>
      </c>
      <c r="C35" s="3235"/>
      <c r="D35" s="3235"/>
      <c r="E35" s="323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2941</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D89B8-0F87-4C95-A9AB-C06A986CB7B2}">
  <dimension ref="S44:V53"/>
  <sheetViews>
    <sheetView tabSelected="1" workbookViewId="0">
      <selection activeCell="S59" sqref="S59"/>
    </sheetView>
  </sheetViews>
  <sheetFormatPr defaultRowHeight="13.5"/>
  <sheetData>
    <row r="44" spans="19:22">
      <c r="S44" s="1405" t="s">
        <v>3427</v>
      </c>
      <c r="T44" s="1405" t="s">
        <v>3428</v>
      </c>
      <c r="U44" s="1405" t="s">
        <v>654</v>
      </c>
    </row>
    <row r="45" spans="19:22">
      <c r="S45">
        <v>-1</v>
      </c>
      <c r="T45">
        <v>1628.68</v>
      </c>
      <c r="U45">
        <f>U46*0.3</f>
        <v>1.5</v>
      </c>
      <c r="V45">
        <f>U45*T45</f>
        <v>2443.02</v>
      </c>
    </row>
    <row r="46" spans="19:22">
      <c r="S46">
        <v>1</v>
      </c>
      <c r="T46">
        <v>1593.36</v>
      </c>
      <c r="U46">
        <v>5</v>
      </c>
      <c r="V46">
        <f t="shared" ref="V46:V51" si="0">U46*T46</f>
        <v>7966.7999999999993</v>
      </c>
    </row>
    <row r="47" spans="19:22">
      <c r="S47">
        <v>2</v>
      </c>
      <c r="T47">
        <v>1373.2</v>
      </c>
      <c r="U47">
        <v>3.5</v>
      </c>
      <c r="V47">
        <f t="shared" si="0"/>
        <v>4806.2</v>
      </c>
    </row>
    <row r="48" spans="19:22">
      <c r="S48">
        <v>3</v>
      </c>
      <c r="T48">
        <v>1373.2</v>
      </c>
      <c r="U48">
        <f>U47</f>
        <v>3.5</v>
      </c>
      <c r="V48">
        <f t="shared" si="0"/>
        <v>4806.2</v>
      </c>
    </row>
    <row r="49" spans="19:22">
      <c r="S49">
        <v>4</v>
      </c>
      <c r="T49">
        <v>1373.2</v>
      </c>
      <c r="U49">
        <f t="shared" ref="U49:U50" si="1">U48</f>
        <v>3.5</v>
      </c>
      <c r="V49">
        <f t="shared" si="0"/>
        <v>4806.2</v>
      </c>
    </row>
    <row r="50" spans="19:22">
      <c r="S50">
        <v>5</v>
      </c>
      <c r="T50">
        <v>1373.2</v>
      </c>
      <c r="U50">
        <f t="shared" si="1"/>
        <v>3.5</v>
      </c>
      <c r="V50">
        <f t="shared" si="0"/>
        <v>4806.2</v>
      </c>
    </row>
    <row r="51" spans="19:22">
      <c r="S51" s="1405" t="s">
        <v>3429</v>
      </c>
      <c r="T51">
        <v>74.819999999999993</v>
      </c>
      <c r="U51">
        <v>0</v>
      </c>
      <c r="V51">
        <f t="shared" si="0"/>
        <v>0</v>
      </c>
    </row>
    <row r="52" spans="19:22">
      <c r="T52">
        <f>SUM(T45:T51)</f>
        <v>8789.66</v>
      </c>
      <c r="U52">
        <f>ROUND(V52/T52,2)</f>
        <v>3.37</v>
      </c>
      <c r="V52">
        <f>SUM(V45:V51)</f>
        <v>29634.620000000003</v>
      </c>
    </row>
    <row r="53" spans="19:22">
      <c r="U53">
        <f>U52/U46</f>
        <v>0.67400000000000004</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8789.66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8789.66</v>
      </c>
      <c r="H5" s="13">
        <f t="shared" ref="H5:AT5" si="0">SUM(H13:H656)</f>
        <v>8789.66</v>
      </c>
      <c r="I5" s="13">
        <f t="shared" si="0"/>
        <v>7160.98</v>
      </c>
      <c r="J5" s="13">
        <f t="shared" si="0"/>
        <v>0</v>
      </c>
      <c r="K5" s="13">
        <f t="shared" si="0"/>
        <v>1628.68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8789.66</v>
      </c>
      <c r="BA5" s="15">
        <f t="shared" si="1"/>
        <v>8789.66</v>
      </c>
      <c r="BB5" s="15">
        <f t="shared" si="1"/>
        <v>7160.98</v>
      </c>
      <c r="BC5" s="15">
        <f t="shared" si="1"/>
        <v>1628.68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3425</v>
      </c>
      <c r="J9" s="761"/>
      <c r="K9" s="1491" t="s">
        <v>3426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3423</v>
      </c>
      <c r="D13" s="1513" t="s">
        <v>3424</v>
      </c>
      <c r="E13" s="13">
        <f>IF($C$3="是",ROUND($A$3*G13/$B$3,2),ROUND($A$3*(G13-AT13)/$B$3,2))</f>
        <v>0</v>
      </c>
      <c r="F13" s="29"/>
      <c r="G13" s="30">
        <f>H13+AC13+AT13</f>
        <v>8789.66</v>
      </c>
      <c r="H13" s="17">
        <f>SUMIF(I$12:AB$12,"总值",I13:AB13)</f>
        <v>8789.66</v>
      </c>
      <c r="I13" s="1514">
        <f>面积位置!T52-面积位置!T45</f>
        <v>7160.98</v>
      </c>
      <c r="J13" s="1514"/>
      <c r="K13" s="1514">
        <f>面积位置!T45</f>
        <v>1628.68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酒店</v>
      </c>
      <c r="AY13" s="1260">
        <f>ROUND($AY$6*AZ13/$AZ$5,2)</f>
        <v>0</v>
      </c>
      <c r="AZ13" s="13">
        <f>BA13+BL13</f>
        <v>8789.66</v>
      </c>
      <c r="BA13" s="13">
        <f>SUM(BB13:BK13)</f>
        <v>8789.66</v>
      </c>
      <c r="BB13" s="13">
        <f>IF($D13="是",I13-J13,0)</f>
        <v>7160.98</v>
      </c>
      <c r="BC13" s="13">
        <f>IF($D13="是",K13-L13,0)</f>
        <v>1628.68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1" t="s">
        <v>1131</v>
      </c>
      <c r="B2" s="3251"/>
      <c r="C2" s="3251"/>
      <c r="D2" s="748" t="s">
        <v>1107</v>
      </c>
      <c r="E2" s="1523" t="s">
        <v>1108</v>
      </c>
      <c r="F2" s="2439"/>
      <c r="G2" s="2432"/>
      <c r="H2" s="2433"/>
      <c r="I2" s="2146" t="s">
        <v>1132</v>
      </c>
      <c r="J2" s="2439"/>
      <c r="K2" s="2439"/>
      <c r="L2" s="2439"/>
      <c r="M2" s="2439"/>
      <c r="N2" s="2440"/>
      <c r="O2" s="2439"/>
      <c r="P2" s="2439"/>
    </row>
    <row r="3" spans="1:16" ht="15.75" thickBot="1">
      <c r="A3" s="3252" t="s">
        <v>1105</v>
      </c>
      <c r="B3" s="3252"/>
      <c r="C3" s="3252"/>
      <c r="D3" s="41">
        <f>'数据-基础表'!AY6</f>
        <v>0</v>
      </c>
      <c r="E3" s="41">
        <f>'数据-基础表'!AZ5</f>
        <v>8789.66</v>
      </c>
      <c r="F3" s="2439"/>
      <c r="G3" s="42"/>
      <c r="H3" s="43" t="s">
        <v>1106</v>
      </c>
      <c r="I3" s="802" t="e">
        <f>ROUND('数据-基础表'!B3/'数据-基础表'!A3,2)</f>
        <v>#DIV/0!</v>
      </c>
      <c r="J3" s="2439"/>
      <c r="K3" s="2439"/>
      <c r="L3" s="2439"/>
      <c r="M3" s="2439"/>
      <c r="N3" s="2440"/>
      <c r="O3" s="2439"/>
      <c r="P3" s="2439"/>
    </row>
    <row r="4" spans="1:16" ht="15">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6" t="s">
        <v>1110</v>
      </c>
      <c r="C5" s="325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f>ROUND($D$3*E6/$E$3,2)</f>
        <v>0</v>
      </c>
      <c r="E6" s="44">
        <f>E3-E5</f>
        <v>8789.66</v>
      </c>
      <c r="F6" s="2439"/>
      <c r="G6" s="1529" t="s">
        <v>1112</v>
      </c>
      <c r="H6" s="45" t="s">
        <v>1113</v>
      </c>
      <c r="I6" s="2435" t="e">
        <f>ROUND(F31/D31,2)</f>
        <v>#DIV/0!</v>
      </c>
      <c r="J6" s="2439"/>
      <c r="K6" s="2439"/>
      <c r="L6" s="2439"/>
      <c r="M6" s="2439"/>
      <c r="N6" s="2439"/>
      <c r="O6" s="2439"/>
      <c r="P6" s="2439"/>
    </row>
    <row r="7" spans="1:16" ht="15.75" thickBot="1">
      <c r="A7" s="3248"/>
      <c r="B7" s="3249"/>
      <c r="C7" s="3250"/>
      <c r="D7" s="1524" t="s">
        <v>1107</v>
      </c>
      <c r="E7" s="1528" t="s">
        <v>1114</v>
      </c>
      <c r="F7" s="2439"/>
      <c r="G7" s="2436" t="s">
        <v>1115</v>
      </c>
      <c r="H7" s="95"/>
      <c r="I7" s="2437">
        <f>基准地价修正!C21</f>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7160.98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1628.68</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8789.66</v>
      </c>
      <c r="F16" s="2439"/>
      <c r="G16" s="2439"/>
      <c r="H16" s="1531" t="s">
        <v>1135</v>
      </c>
      <c r="I16" s="1532"/>
      <c r="J16" s="1071"/>
      <c r="K16" s="3245" t="s">
        <v>1135</v>
      </c>
      <c r="L16" s="3246"/>
      <c r="M16" s="3246"/>
      <c r="N16" s="3246"/>
      <c r="O16" s="3246"/>
      <c r="P16" s="3247"/>
    </row>
    <row r="17" spans="1:19" ht="15">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酒店</v>
      </c>
      <c r="D19" s="43">
        <f>ROUND($D$3*E19/$E$3,2)</f>
        <v>0</v>
      </c>
      <c r="E19" s="51">
        <f t="shared" ref="E19:E26" si="1">SUM(F19:G19)</f>
        <v>8789.66</v>
      </c>
      <c r="F19" s="2558">
        <f>'数据-基础表'!I13</f>
        <v>7160.98</v>
      </c>
      <c r="G19" s="1243">
        <f>'数据-基础表'!K13</f>
        <v>1628.68</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8789.66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8789.66</v>
      </c>
      <c r="F27" s="1072">
        <f>IF(SUM(F19:F26)=E8,SUM(F19:F26),"地上面积有误")</f>
        <v>7160.98</v>
      </c>
      <c r="G27" s="1074">
        <f>SUM(G19:G26)</f>
        <v>1628.68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8789.66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8789.66</v>
      </c>
      <c r="F31" s="644">
        <f>F27+F30</f>
        <v>7160.98</v>
      </c>
      <c r="G31" s="645">
        <f>G27+G30</f>
        <v>1628.68</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酒店</v>
      </c>
      <c r="B6" s="1587" t="str">
        <f>IF(A6=0,"","经营性")</f>
        <v>经营性</v>
      </c>
      <c r="C6" s="1588" t="s">
        <v>673</v>
      </c>
      <c r="D6" s="805">
        <f>SUMIF(项目基本情况!C$12:I$12,C6,项目基本情况!C$14:I$14)</f>
        <v>40</v>
      </c>
      <c r="E6" s="804">
        <f>IF(B6="","",SUMIF(项目基本情况!C$12:I$12,C6,项目基本情况!C$13:I$13))</f>
        <v>52432</v>
      </c>
      <c r="F6" s="61">
        <f>SUMIF(项目基本情况!C$12:I$12,C6,项目基本情况!C$15:I$15)</f>
        <v>18</v>
      </c>
      <c r="G6" s="62">
        <f>IF(ISERROR(ROUND(POWER(1+H6,D6-F6)*(POWER(1+H6,F6)-1)/(POWER(1+H6,D6)-1),3)),0,ROUND(POWER(1+H6,D6-F6)*(POWER(1+H6,F6)-1)/(POWER(1+H6,D6)-1),3))</f>
        <v>0.70099999999999996</v>
      </c>
      <c r="H6" s="691">
        <v>5.5E-2</v>
      </c>
      <c r="I6" s="691">
        <v>0.06</v>
      </c>
      <c r="J6" s="63">
        <v>7.0000000000000007E-2</v>
      </c>
      <c r="K6" s="970">
        <f>SUMIF('数据-汇总表'!C$19:C$33,A6,'数据-汇总表'!E$19:E$33)</f>
        <v>8789.66</v>
      </c>
      <c r="L6" s="692">
        <v>4500</v>
      </c>
      <c r="M6" s="64">
        <f t="shared" ref="M6:M14" si="0">ROUND(K6*L6/10000,0)</f>
        <v>3955</v>
      </c>
      <c r="N6" s="690">
        <f>N23</f>
        <v>0.78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面积位置!U52</f>
        <v>3.37</v>
      </c>
      <c r="V6" s="67">
        <v>0.02</v>
      </c>
      <c r="W6" s="67">
        <v>0.1</v>
      </c>
      <c r="X6" s="979"/>
      <c r="Y6" s="68">
        <f>N6</f>
        <v>0.78</v>
      </c>
      <c r="Z6" s="69"/>
      <c r="AA6" s="63"/>
      <c r="AB6" s="63"/>
      <c r="AC6" s="979"/>
      <c r="AD6" s="70"/>
      <c r="AE6" s="980">
        <f ca="1">IF(AN6="",0,SUMIF(INDIRECT("'"&amp;AN6&amp;"'"&amp;"!E:E"),$AE$5,INDIRECT("'"&amp;AN6&amp;"'"&amp;"!F:F")))</f>
        <v>18</v>
      </c>
      <c r="AF6" s="74"/>
      <c r="AG6" s="130">
        <f>IF(AF6="",0,AE6-AF6)</f>
        <v>0</v>
      </c>
      <c r="AH6" s="71"/>
      <c r="AI6" s="73">
        <v>365</v>
      </c>
      <c r="AJ6" s="74"/>
      <c r="AK6" s="75">
        <v>2E-3</v>
      </c>
      <c r="AL6" s="76">
        <v>1E-3</v>
      </c>
      <c r="AM6" s="77">
        <v>0.01</v>
      </c>
      <c r="AN6" s="1589" t="s">
        <v>3431</v>
      </c>
      <c r="AO6" s="50">
        <f ca="1">SUMIF(INDIRECT("'"&amp;AN6&amp;"'"&amp;"!A:A"),"总价",INDIRECT("'"&amp;AN6&amp;"'"&amp;"!B:B"))</f>
        <v>10446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0.70099999999999996</v>
      </c>
      <c r="H16" s="84">
        <f>ROUND(SUMPRODUCT(H6:H13,K6:K13)/SUMPRODUCT((H6:H13&gt;0)*(K6:K13)),3)</f>
        <v>5.5E-2</v>
      </c>
      <c r="I16" s="85"/>
      <c r="J16" s="85"/>
      <c r="K16" s="86">
        <f>SUM(K6:K15)</f>
        <v>8789.66</v>
      </c>
      <c r="L16" s="87">
        <f>ROUND(M16*10000/SUM(K6:K14),0)</f>
        <v>4500</v>
      </c>
      <c r="M16" s="87">
        <f>SUM(M6:M14)</f>
        <v>3955</v>
      </c>
      <c r="N16" s="88">
        <f>ROUND(SUMPRODUCT(M6:M14,N6:N14)/M16,3)</f>
        <v>0.78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2005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3610">
        <f>ROUND(1-(2025-N20)/60,2)</f>
        <v>0.67</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3611">
        <v>0.85</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f>ROUND(N21*0.4+N22*0.6,2)</f>
        <v>0.78</v>
      </c>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176</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7" t="s">
        <v>2286</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45862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16294</v>
      </c>
      <c r="D5" s="2300" t="e">
        <f>ROUND(B5*10000/$B$2,0)</f>
        <v>#DIV/0!</v>
      </c>
      <c r="E5" s="2462"/>
      <c r="F5" s="2463"/>
      <c r="G5" s="2463"/>
      <c r="H5" s="2463"/>
      <c r="I5" s="2463"/>
      <c r="J5" s="2463"/>
      <c r="K5" s="2463"/>
    </row>
    <row r="6" spans="1:11" ht="16.5">
      <c r="A6" s="2300" t="s">
        <v>656</v>
      </c>
      <c r="B6" s="2300">
        <f>SUM(G14:G23)</f>
        <v>0</v>
      </c>
      <c r="C6" s="2300">
        <f ca="1">IF(B6=G14,结果表!H108,ROUND(B6*10000/$B$1,0))</f>
        <v>16294</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0" sqref="J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3450</v>
      </c>
      <c r="H1" s="1621" t="str">
        <f>IF(G1="现房","——","估价对象范围")</f>
        <v>——</v>
      </c>
      <c r="I1" s="1622" t="s">
        <v>3451</v>
      </c>
    </row>
    <row r="2" spans="1:12" ht="21.75" customHeight="1" thickBot="1">
      <c r="A2" s="3326" t="str">
        <f>项目基本情况!S2</f>
        <v>北京市房地产</v>
      </c>
      <c r="B2" s="3327"/>
      <c r="C2" s="3327"/>
      <c r="D2" s="3327"/>
      <c r="E2" s="3327"/>
      <c r="F2" s="3327"/>
      <c r="G2" s="3327"/>
      <c r="H2" s="3327"/>
      <c r="I2" s="3328"/>
    </row>
    <row r="3" spans="1:12" ht="12.75">
      <c r="A3" s="3330" t="s">
        <v>1264</v>
      </c>
      <c r="B3" s="3331"/>
      <c r="C3" s="3331"/>
      <c r="D3" s="3331"/>
      <c r="E3" s="3331"/>
      <c r="F3" s="3331"/>
      <c r="G3" s="3331"/>
      <c r="H3" s="3331"/>
      <c r="I3" s="3331"/>
    </row>
    <row r="4" spans="1:12" ht="14.25">
      <c r="A4" s="1624" t="s">
        <v>1265</v>
      </c>
      <c r="B4" s="1625" t="s">
        <v>1266</v>
      </c>
      <c r="C4" s="1626" t="s">
        <v>3446</v>
      </c>
      <c r="D4" s="1626" t="s">
        <v>3447</v>
      </c>
      <c r="E4" s="3335" t="s">
        <v>1267</v>
      </c>
      <c r="F4" s="3336"/>
      <c r="G4" s="3336"/>
      <c r="H4" s="3336"/>
      <c r="I4" s="333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4" t="s">
        <v>1268</v>
      </c>
      <c r="B5" s="3329">
        <v>25</v>
      </c>
      <c r="C5" s="3332"/>
      <c r="D5" s="3320"/>
      <c r="E5" s="123" t="s">
        <v>1269</v>
      </c>
      <c r="F5" s="1627"/>
      <c r="G5" s="1627"/>
      <c r="H5" s="1627"/>
      <c r="I5" s="1281"/>
    </row>
    <row r="6" spans="1:12" ht="12.75">
      <c r="A6" s="3274"/>
      <c r="B6" s="3329"/>
      <c r="C6" s="3334"/>
      <c r="D6" s="3320"/>
      <c r="E6" s="123" t="s">
        <v>1270</v>
      </c>
      <c r="F6" s="1627"/>
      <c r="G6" s="1627"/>
      <c r="H6" s="1627"/>
      <c r="I6" s="1281"/>
    </row>
    <row r="7" spans="1:12" ht="12.75">
      <c r="A7" s="3274"/>
      <c r="B7" s="3329"/>
      <c r="C7" s="3333"/>
      <c r="D7" s="3320"/>
      <c r="E7" s="123" t="s">
        <v>1271</v>
      </c>
      <c r="F7" s="1627"/>
      <c r="G7" s="1627"/>
      <c r="H7" s="1627"/>
      <c r="I7" s="1281"/>
    </row>
    <row r="8" spans="1:12" ht="12.75">
      <c r="A8" s="3274" t="s">
        <v>1272</v>
      </c>
      <c r="B8" s="3329">
        <v>15</v>
      </c>
      <c r="C8" s="3332"/>
      <c r="D8" s="3320"/>
      <c r="E8" s="123" t="s">
        <v>1273</v>
      </c>
      <c r="F8" s="1627"/>
      <c r="G8" s="1627"/>
      <c r="H8" s="1627"/>
      <c r="I8" s="1281"/>
    </row>
    <row r="9" spans="1:12" ht="12.75">
      <c r="A9" s="3274"/>
      <c r="B9" s="3329"/>
      <c r="C9" s="3333"/>
      <c r="D9" s="3320"/>
      <c r="E9" s="123" t="s">
        <v>1274</v>
      </c>
      <c r="F9" s="1627"/>
      <c r="G9" s="1627"/>
      <c r="H9" s="1627"/>
      <c r="I9" s="1281"/>
    </row>
    <row r="10" spans="1:12" ht="12.75">
      <c r="A10" s="3274" t="s">
        <v>1275</v>
      </c>
      <c r="B10" s="3329">
        <v>15</v>
      </c>
      <c r="C10" s="3332"/>
      <c r="D10" s="3320"/>
      <c r="E10" s="123" t="s">
        <v>1276</v>
      </c>
      <c r="F10" s="1627"/>
      <c r="G10" s="1627"/>
      <c r="H10" s="1627"/>
      <c r="I10" s="1281"/>
    </row>
    <row r="11" spans="1:12" ht="12.75">
      <c r="A11" s="3274"/>
      <c r="B11" s="3329"/>
      <c r="C11" s="3333"/>
      <c r="D11" s="3320"/>
      <c r="E11" s="123" t="s">
        <v>1277</v>
      </c>
      <c r="F11" s="1627"/>
      <c r="G11" s="1627"/>
      <c r="H11" s="1627"/>
      <c r="I11" s="1281"/>
    </row>
    <row r="12" spans="1:12" ht="12.75">
      <c r="A12" s="3274" t="s">
        <v>1278</v>
      </c>
      <c r="B12" s="3329">
        <v>15</v>
      </c>
      <c r="C12" s="3332"/>
      <c r="D12" s="3320"/>
      <c r="E12" s="123" t="s">
        <v>1279</v>
      </c>
      <c r="F12" s="1627"/>
      <c r="G12" s="1627"/>
      <c r="H12" s="1627"/>
      <c r="I12" s="1281"/>
    </row>
    <row r="13" spans="1:12" ht="12.75">
      <c r="A13" s="3274"/>
      <c r="B13" s="3329"/>
      <c r="C13" s="3333"/>
      <c r="D13" s="3320"/>
      <c r="E13" s="123" t="s">
        <v>1280</v>
      </c>
      <c r="F13" s="1627"/>
      <c r="G13" s="1627"/>
      <c r="H13" s="1627"/>
      <c r="I13" s="1281"/>
    </row>
    <row r="14" spans="1:12" ht="12.75">
      <c r="A14" s="3274" t="s">
        <v>1281</v>
      </c>
      <c r="B14" s="3329">
        <v>30</v>
      </c>
      <c r="C14" s="3332">
        <v>4</v>
      </c>
      <c r="D14" s="3320">
        <v>6</v>
      </c>
      <c r="E14" s="123" t="s">
        <v>1282</v>
      </c>
      <c r="F14" s="1627"/>
      <c r="G14" s="1627"/>
      <c r="H14" s="1627"/>
      <c r="I14" s="1281"/>
    </row>
    <row r="15" spans="1:12" ht="12.75">
      <c r="A15" s="3274"/>
      <c r="B15" s="3329"/>
      <c r="C15" s="3334"/>
      <c r="D15" s="3320"/>
      <c r="E15" s="123" t="s">
        <v>1283</v>
      </c>
      <c r="F15" s="1627"/>
      <c r="G15" s="1627"/>
      <c r="H15" s="1627"/>
      <c r="I15" s="1281"/>
    </row>
    <row r="16" spans="1:12" ht="12.75">
      <c r="A16" s="3274"/>
      <c r="B16" s="3329"/>
      <c r="C16" s="3333"/>
      <c r="D16" s="3320"/>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51" t="s">
        <v>2131</v>
      </c>
      <c r="F18" s="3352"/>
      <c r="G18" s="3352"/>
      <c r="H18" s="3352"/>
      <c r="I18" s="3352"/>
      <c r="K18" s="294" t="s">
        <v>1289</v>
      </c>
      <c r="L18" s="294">
        <f>IF(C1="",'数据-汇总表'!E3,SUMIF(项目类型,C1,'数据-汇总表'!E17:E26)+SUMIF(项目类型,C1,'数据-汇总表'!I17:I26))</f>
        <v>8789.66</v>
      </c>
      <c r="M18" s="294">
        <f>IF(C1="",'数据-汇总表'!E3,SUMIF(项目类型,C1,'数据-汇总表'!E17:E26))</f>
        <v>8789.66</v>
      </c>
    </row>
    <row r="19" spans="1:36" ht="15">
      <c r="A19" s="1630" t="s">
        <v>1290</v>
      </c>
      <c r="B19" s="1631" t="s">
        <v>1291</v>
      </c>
      <c r="C19" s="126">
        <f ca="1">SUMIF(INDIRECT("'"&amp;C4&amp;"'"&amp;"!A:A"),结果表!B19,INDIRECT("'"&amp;C4&amp;"'"&amp;"!B:B"))</f>
        <v>20958</v>
      </c>
      <c r="D19" s="127">
        <f ca="1">SUMIF(INDIRECT("'"&amp;D4&amp;"'"&amp;"!A:A"),结果表!B19,INDIRECT("'"&amp;D4&amp;"'"&amp;"!B:B"))</f>
        <v>9898</v>
      </c>
      <c r="E19" s="1630" t="s">
        <v>1292</v>
      </c>
      <c r="F19" s="1631" t="s">
        <v>1291</v>
      </c>
      <c r="G19" s="128">
        <f ca="1">ROUND(C19*$C$18+D19*$D$18,0)</f>
        <v>14322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23844</v>
      </c>
      <c r="D20" s="130">
        <f ca="1">SUMIF(INDIRECT("'"&amp;D4&amp;"'"&amp;"!A:A"),结果表!B20,INDIRECT("'"&amp;D4&amp;"'"&amp;"!B:B"))</f>
        <v>11261</v>
      </c>
      <c r="E20" s="1633"/>
      <c r="F20" s="43" t="s">
        <v>1295</v>
      </c>
      <c r="G20" s="131">
        <f ca="1">ROUND(C20*$C$18+D20*$D$18,0)</f>
        <v>16294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1.1173974540311176</v>
      </c>
      <c r="E22" s="121"/>
      <c r="F22" s="121"/>
      <c r="G22" s="121"/>
      <c r="H22" s="121"/>
      <c r="I22" s="121"/>
    </row>
    <row r="23" spans="1:36" ht="13.5" thickBot="1">
      <c r="A23" s="646"/>
      <c r="B23" s="646"/>
      <c r="C23" s="646"/>
      <c r="D23" s="646"/>
      <c r="E23" s="121"/>
      <c r="F23" s="121"/>
      <c r="G23" s="121"/>
      <c r="H23" s="121"/>
      <c r="I23" s="121"/>
    </row>
    <row r="24" spans="1:36" ht="14.25">
      <c r="A24" s="3344" t="s">
        <v>1299</v>
      </c>
      <c r="B24" s="1631" t="s">
        <v>1291</v>
      </c>
      <c r="C24" s="128">
        <f>IF(B30=0,0,D30)</f>
        <v>0</v>
      </c>
      <c r="D24" s="1637"/>
      <c r="E24" s="121"/>
      <c r="F24" s="121"/>
      <c r="G24" s="121"/>
      <c r="H24" s="121"/>
      <c r="I24" s="121"/>
    </row>
    <row r="25" spans="1:36" ht="14.25">
      <c r="A25" s="334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14322</v>
      </c>
      <c r="D32" s="1641" t="s">
        <v>3448</v>
      </c>
      <c r="E32" s="121"/>
      <c r="F32" s="121"/>
      <c r="G32" s="121"/>
      <c r="H32" s="121"/>
      <c r="I32" s="121"/>
    </row>
    <row r="33" spans="1:15" ht="15">
      <c r="A33" s="740" t="s">
        <v>1306</v>
      </c>
      <c r="B33" s="123"/>
      <c r="C33" s="1642" t="s">
        <v>3449</v>
      </c>
      <c r="D33" s="1643" t="s">
        <v>3446</v>
      </c>
      <c r="E33" s="1644" t="s">
        <v>1307</v>
      </c>
      <c r="F33" s="1645" t="str">
        <f>IF(D32="楼面单价","取值（单价）","取值（总价）")</f>
        <v>取值（总价）</v>
      </c>
      <c r="G33" s="121"/>
      <c r="H33" s="121"/>
      <c r="I33" s="121"/>
    </row>
    <row r="34" spans="1:15" ht="15">
      <c r="A34" s="1646"/>
      <c r="B34" s="1647" t="s">
        <v>1308</v>
      </c>
      <c r="C34" s="140">
        <f ca="1">IF(C33="自定义",F34,C32-C35)</f>
        <v>11128</v>
      </c>
      <c r="D34" s="808">
        <f ca="1">IF(C33="自定义",ROUND(C34/C32,3),IF(C33="收益比率",SUMIF(INDIRECT("'"&amp;D33&amp;"'"&amp;"!b:b"),"土地收益比率",INDIRECT("'"&amp;D33&amp;"'"&amp;"!c:c")),SUMIF(INDIRECT("'"&amp;D33&amp;"'"&amp;"!b:b"),"土地成本比率",INDIRECT("'"&amp;D33&amp;"'"&amp;"!c:c"))))</f>
        <v>0.77700000000000002</v>
      </c>
      <c r="E34" s="1648" t="s">
        <v>1309</v>
      </c>
      <c r="F34" s="1243"/>
      <c r="G34" s="121"/>
      <c r="H34" s="121"/>
      <c r="I34" s="121"/>
    </row>
    <row r="35" spans="1:15" ht="15.75" thickBot="1">
      <c r="A35" s="1649"/>
      <c r="B35" s="1650" t="s">
        <v>1310</v>
      </c>
      <c r="C35" s="1090">
        <f ca="1">IF(C33="自定义",F35,ROUND(C32*D35,0))</f>
        <v>3194</v>
      </c>
      <c r="D35" s="1091">
        <f ca="1">IF(C33="自定义",ROUND(C35/C32,3),IF(C33="收益比率",SUMIF(INDIRECT("'"&amp;D33&amp;"'"&amp;"!b:b"),"建筑物收益比率",INDIRECT("'"&amp;D33&amp;"'"&amp;"!c:c")),SUMIF(INDIRECT("'"&amp;D33&amp;"'"&amp;"!b:b"),"建筑物成本比率",INDIRECT("'"&amp;D33&amp;"'"&amp;"!c:c"))))</f>
        <v>0.223</v>
      </c>
      <c r="E35" s="1651" t="s">
        <v>1311</v>
      </c>
      <c r="F35" s="146"/>
      <c r="G35" s="121"/>
      <c r="H35" s="121"/>
      <c r="I35" s="121"/>
    </row>
    <row r="36" spans="1:15" ht="15.75" thickBot="1">
      <c r="A36" s="3321" t="s">
        <v>1312</v>
      </c>
      <c r="B36" s="1652" t="s">
        <v>1313</v>
      </c>
      <c r="C36" s="137"/>
      <c r="D36" s="1653"/>
      <c r="E36" s="1567"/>
      <c r="F36" s="1654"/>
      <c r="G36" s="121"/>
      <c r="H36" s="121"/>
      <c r="I36" s="121"/>
    </row>
    <row r="37" spans="1:15" ht="15.75" thickBot="1">
      <c r="A37" s="3322"/>
      <c r="B37" s="1555" t="s">
        <v>1314</v>
      </c>
      <c r="C37" s="139"/>
      <c r="D37" s="1071"/>
      <c r="E37" s="1071"/>
      <c r="F37" s="1654"/>
      <c r="G37" s="121"/>
      <c r="H37" s="121"/>
      <c r="I37" s="121"/>
    </row>
    <row r="38" spans="1:15" ht="15.75" thickBot="1">
      <c r="A38" s="332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1" t="s">
        <v>1326</v>
      </c>
      <c r="B45" s="3342"/>
      <c r="C45" s="3343"/>
      <c r="D45" s="147">
        <f ca="1">ROUND(H101*F45,0)</f>
        <v>14322</v>
      </c>
      <c r="E45" s="148" t="s">
        <v>1327</v>
      </c>
      <c r="F45" s="149">
        <v>1</v>
      </c>
      <c r="G45" s="150" t="s">
        <v>1328</v>
      </c>
      <c r="H45" s="121"/>
      <c r="I45" s="121"/>
      <c r="J45" s="3261" t="s">
        <v>1329</v>
      </c>
      <c r="K45" s="3261"/>
      <c r="L45" s="3261"/>
      <c r="M45" s="3261"/>
      <c r="N45" s="3261"/>
      <c r="O45" s="3261"/>
    </row>
    <row r="46" spans="1:15" ht="14.25" customHeight="1">
      <c r="A46" s="3338" t="s">
        <v>1330</v>
      </c>
      <c r="B46" s="3339"/>
      <c r="C46" s="3339"/>
      <c r="D46" s="3339"/>
      <c r="E46" s="3339"/>
      <c r="F46" s="3339"/>
      <c r="G46" s="3340"/>
      <c r="H46" s="1668"/>
      <c r="I46" s="151"/>
      <c r="J46" s="2310">
        <v>1</v>
      </c>
      <c r="K46" s="3262" t="s">
        <v>1331</v>
      </c>
      <c r="L46" s="3262"/>
      <c r="M46" s="3263"/>
      <c r="N46" s="3263"/>
      <c r="O46" s="3263"/>
    </row>
    <row r="47" spans="1:15" ht="12" customHeight="1">
      <c r="A47" s="152" t="s">
        <v>1332</v>
      </c>
      <c r="B47" s="153"/>
      <c r="C47" s="154"/>
      <c r="D47" s="1024" t="s">
        <v>1333</v>
      </c>
      <c r="E47" s="294" t="s">
        <v>1334</v>
      </c>
      <c r="F47" s="155" t="s">
        <v>1335</v>
      </c>
      <c r="G47" s="2333" t="s">
        <v>1336</v>
      </c>
      <c r="H47" s="2334"/>
      <c r="I47" s="151"/>
      <c r="J47" s="2310">
        <v>2</v>
      </c>
      <c r="K47" s="3262" t="s">
        <v>1337</v>
      </c>
      <c r="L47" s="3262"/>
      <c r="M47" s="3264">
        <f>'数据-取费表'!B2</f>
        <v>45862</v>
      </c>
      <c r="N47" s="3264"/>
      <c r="O47" s="3264"/>
    </row>
    <row r="48" spans="1:15" ht="25.5">
      <c r="A48" s="3324" t="s">
        <v>1338</v>
      </c>
      <c r="B48" s="3325"/>
      <c r="C48" s="332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2" t="s">
        <v>1340</v>
      </c>
      <c r="L48" s="3262"/>
      <c r="M48" s="3265">
        <f ca="1">H101</f>
        <v>14322</v>
      </c>
      <c r="N48" s="3265"/>
      <c r="O48" s="3265"/>
    </row>
    <row r="49" spans="1:35" ht="25.5" customHeight="1">
      <c r="A49" s="2152" t="s">
        <v>1341</v>
      </c>
      <c r="B49" s="3310" t="s">
        <v>1342</v>
      </c>
      <c r="C49" s="3310"/>
      <c r="D49" s="1478">
        <v>0</v>
      </c>
      <c r="E49" s="316" t="s">
        <v>1343</v>
      </c>
      <c r="F49" s="2233" t="s">
        <v>28</v>
      </c>
      <c r="G49" s="3293"/>
      <c r="H49" s="2134" t="s">
        <v>2134</v>
      </c>
      <c r="I49" s="2135"/>
      <c r="J49" s="2310">
        <v>4</v>
      </c>
      <c r="K49" s="3262" t="str">
        <f>IF(项目基本情况!E8="房地产抵押价值","房地产抵押价值","抵押担保权已注销时的房地产抵押价值")</f>
        <v>房地产抵押价值</v>
      </c>
      <c r="L49" s="3262"/>
      <c r="M49" s="3265">
        <f ca="1">IF(项目基本情况!E8="房地产抵押价值",H107,H109)</f>
        <v>14322</v>
      </c>
      <c r="N49" s="3265"/>
      <c r="O49" s="3265"/>
    </row>
    <row r="50" spans="1:35" ht="25.5" customHeight="1">
      <c r="A50" s="2338"/>
      <c r="B50" s="3310" t="s">
        <v>1344</v>
      </c>
      <c r="C50" s="3310"/>
      <c r="D50" s="2189"/>
      <c r="E50" s="323"/>
      <c r="F50" s="2233"/>
      <c r="G50" s="3294"/>
      <c r="H50" s="2136" t="s">
        <v>2135</v>
      </c>
      <c r="I50" s="2135"/>
      <c r="J50" s="3261" t="s">
        <v>1345</v>
      </c>
      <c r="K50" s="3261"/>
      <c r="L50" s="3261"/>
      <c r="M50" s="3261"/>
      <c r="N50" s="3261"/>
      <c r="O50" s="3261"/>
    </row>
    <row r="51" spans="1:35" ht="20.45" customHeight="1">
      <c r="A51" s="2339"/>
      <c r="B51" s="3310" t="s">
        <v>1346</v>
      </c>
      <c r="C51" s="3310"/>
      <c r="D51" s="1024"/>
      <c r="E51" s="319"/>
      <c r="F51" s="2233"/>
      <c r="G51" s="3295"/>
      <c r="H51" s="2136" t="s">
        <v>2136</v>
      </c>
      <c r="I51" s="2135"/>
      <c r="J51" s="2311" t="s">
        <v>1347</v>
      </c>
      <c r="K51" s="3262" t="s">
        <v>1348</v>
      </c>
      <c r="L51" s="3262"/>
      <c r="M51" s="2311" t="s">
        <v>1349</v>
      </c>
      <c r="N51" s="2311" t="s">
        <v>1350</v>
      </c>
      <c r="O51" s="2311" t="s">
        <v>1351</v>
      </c>
    </row>
    <row r="52" spans="1:35" ht="24" customHeight="1">
      <c r="A52" s="2153" t="s">
        <v>1352</v>
      </c>
      <c r="B52" s="3310" t="s">
        <v>1353</v>
      </c>
      <c r="C52" s="3310"/>
      <c r="D52" s="1024">
        <f ca="1">ROUND(D45*'数据-取费表'!B41/(1+'数据-取费表'!C42),0)</f>
        <v>764</v>
      </c>
      <c r="E52" s="1256" t="s">
        <v>1354</v>
      </c>
      <c r="F52" s="2340">
        <f>'数据-取费表'!B41</f>
        <v>5.6000000000000001E-2</v>
      </c>
      <c r="G52" s="2341"/>
      <c r="H52" s="2331"/>
      <c r="I52" s="1669"/>
      <c r="J52" s="2310">
        <v>1</v>
      </c>
      <c r="K52" s="3287" t="s">
        <v>1355</v>
      </c>
      <c r="L52" s="3287"/>
      <c r="M52" s="2312" t="b">
        <f>D48</f>
        <v>0</v>
      </c>
      <c r="N52" s="2310" t="str">
        <f>E48</f>
        <v>销售额×税（费）率</v>
      </c>
      <c r="O52" s="2313">
        <f>F48</f>
        <v>5.6000000000000001E-2</v>
      </c>
    </row>
    <row r="53" spans="1:35" ht="12" customHeight="1">
      <c r="A53" s="2153" t="s">
        <v>1356</v>
      </c>
      <c r="B53" s="3311" t="s">
        <v>2291</v>
      </c>
      <c r="C53" s="3312"/>
      <c r="D53" s="1024">
        <f ca="1">ROUND(D45*'数据-取费表'!B41/(1+'数据-取费表'!C42),0)</f>
        <v>764</v>
      </c>
      <c r="E53" s="1256" t="s">
        <v>1354</v>
      </c>
      <c r="F53" s="2340">
        <f>'数据-取费表'!B41</f>
        <v>5.6000000000000001E-2</v>
      </c>
      <c r="G53" s="2341"/>
      <c r="H53" s="2331"/>
      <c r="I53" s="1669"/>
      <c r="J53" s="2310">
        <v>2</v>
      </c>
      <c r="K53" s="3287" t="s">
        <v>1357</v>
      </c>
      <c r="L53" s="3287"/>
      <c r="M53" s="2312">
        <f t="shared" ref="M53:O54" ca="1" si="0">D55</f>
        <v>7</v>
      </c>
      <c r="N53" s="2310" t="str">
        <f t="shared" si="0"/>
        <v>销售额×税（费）率</v>
      </c>
      <c r="O53" s="2313" t="str">
        <f t="shared" si="0"/>
        <v>免征</v>
      </c>
    </row>
    <row r="54" spans="1:35" ht="12" customHeight="1">
      <c r="A54" s="2153" t="s">
        <v>1358</v>
      </c>
      <c r="B54" s="3311" t="s">
        <v>2292</v>
      </c>
      <c r="C54" s="3312"/>
      <c r="D54" s="1024">
        <f ca="1">C68</f>
        <v>764</v>
      </c>
      <c r="E54" s="319" t="s">
        <v>1359</v>
      </c>
      <c r="F54" s="2340">
        <f>'数据-取费表'!B41</f>
        <v>5.6000000000000001E-2</v>
      </c>
      <c r="G54" s="2341"/>
      <c r="H54" s="2342"/>
      <c r="I54" s="1669"/>
      <c r="J54" s="2310">
        <v>3</v>
      </c>
      <c r="K54" s="3287" t="s">
        <v>1360</v>
      </c>
      <c r="L54" s="3287"/>
      <c r="M54" s="2312">
        <f t="shared" ca="1" si="0"/>
        <v>8106</v>
      </c>
      <c r="N54" s="2310" t="str">
        <f t="shared" si="0"/>
        <v>增值额×税（费）率</v>
      </c>
      <c r="O54" s="2314" t="str">
        <f t="shared" si="0"/>
        <v>免征</v>
      </c>
    </row>
    <row r="55" spans="1:35" ht="24" customHeight="1">
      <c r="A55" s="3347" t="s">
        <v>1361</v>
      </c>
      <c r="B55" s="3325"/>
      <c r="C55" s="3325"/>
      <c r="D55" s="12">
        <f ca="1">IF(H55="个人住宅",0,ROUND(D45*I55,0))</f>
        <v>7</v>
      </c>
      <c r="E55" s="1256" t="s">
        <v>1362</v>
      </c>
      <c r="F55" s="2340" t="str">
        <f>IF(H55="正常",I55,"免征")</f>
        <v>免征</v>
      </c>
      <c r="G55" s="2341"/>
      <c r="H55" s="2337"/>
      <c r="I55" s="157">
        <f>'数据-取费表'!B49</f>
        <v>5.0000000000000001E-4</v>
      </c>
      <c r="J55" s="2310">
        <f>IF(H59="非个人房产","",4)</f>
        <v>4</v>
      </c>
      <c r="K55" s="3287" t="str">
        <f>IF(H59="非个人房产","——","个人所得税")</f>
        <v>个人所得税</v>
      </c>
      <c r="L55" s="3287"/>
      <c r="M55" s="2315">
        <f ca="1">D59</f>
        <v>136</v>
      </c>
      <c r="N55" s="1883" t="str">
        <f>E59</f>
        <v>差额计税</v>
      </c>
      <c r="O55" s="2316">
        <f>F59</f>
        <v>0.01</v>
      </c>
    </row>
    <row r="56" spans="1:35" ht="24.75">
      <c r="A56" s="3347" t="s">
        <v>1363</v>
      </c>
      <c r="B56" s="3325"/>
      <c r="C56" s="3325"/>
      <c r="D56" s="12">
        <f ca="1">IF(H56="个人住宅",D57,D58)</f>
        <v>8106</v>
      </c>
      <c r="E56" s="1256" t="s">
        <v>1364</v>
      </c>
      <c r="F56" s="2340" t="str">
        <f>IF(H56="正常",F58,"免征")</f>
        <v>免征</v>
      </c>
      <c r="G56" s="2343" t="s">
        <v>1365</v>
      </c>
      <c r="H56" s="2344"/>
      <c r="I56" s="1670"/>
      <c r="J56" s="2310" t="str">
        <f>IF(项目基本情况!K6="上海银行",IF(J55="",4,J55+1),"")</f>
        <v/>
      </c>
      <c r="K56" s="3268" t="str">
        <f>IF(项目基本情况!K6="上海银行","其他处置费用","")</f>
        <v/>
      </c>
      <c r="L56" s="3269"/>
      <c r="M56" s="2312" t="str">
        <f>IF(项目基本情况!K6="上海银行",M69,"")</f>
        <v/>
      </c>
      <c r="N56" s="3268" t="str">
        <f>IF(项目基本情况!K6="上海银行","包含处置中涉及的律师、诉讼、拍卖、评估等费用","")</f>
        <v/>
      </c>
      <c r="O56" s="3271"/>
    </row>
    <row r="57" spans="1:35" ht="12.75">
      <c r="A57" s="2153" t="s">
        <v>1341</v>
      </c>
      <c r="B57" s="3311" t="s">
        <v>1366</v>
      </c>
      <c r="C57" s="3312"/>
      <c r="D57" s="1478">
        <v>0</v>
      </c>
      <c r="E57" s="316" t="s">
        <v>1343</v>
      </c>
      <c r="F57" s="294"/>
      <c r="G57" s="2341"/>
      <c r="H57" s="2345"/>
      <c r="I57" s="1670"/>
      <c r="J57" s="3287">
        <f>IF(AND(J55="",J56=""),4,IF(项目基本情况!K6="上海银行",结果表!J56+1,结果表!J55+1))</f>
        <v>5</v>
      </c>
      <c r="K57" s="3287" t="s">
        <v>1367</v>
      </c>
      <c r="L57" s="2317" t="s">
        <v>1368</v>
      </c>
      <c r="M57" s="2318"/>
      <c r="N57" s="2319">
        <f ca="1">SUMIF(M52:M56,"&lt;9e307")</f>
        <v>8249</v>
      </c>
      <c r="O57" s="2320"/>
      <c r="P57" s="2465">
        <f ca="1">N57/M49</f>
        <v>0.57596704370897922</v>
      </c>
    </row>
    <row r="58" spans="1:35" ht="24.75">
      <c r="A58" s="2153" t="s">
        <v>1352</v>
      </c>
      <c r="B58" s="3311" t="s">
        <v>1369</v>
      </c>
      <c r="C58" s="3310"/>
      <c r="D58" s="12">
        <f ca="1">IF(H58="转让取得",C81,C97)</f>
        <v>8106</v>
      </c>
      <c r="E58" s="1256" t="s">
        <v>1364</v>
      </c>
      <c r="F58" s="294" t="s">
        <v>28</v>
      </c>
      <c r="G58" s="2341"/>
      <c r="H58" s="2344"/>
      <c r="I58" s="1670"/>
      <c r="J58" s="3287"/>
      <c r="K58" s="3287"/>
      <c r="L58" s="2317" t="s">
        <v>1370</v>
      </c>
      <c r="M58" s="2321"/>
      <c r="N58" s="2322" t="str">
        <f ca="1">NUMBERSTRING(INT(N57*10000),2)&amp;"元整"</f>
        <v>捌仟贰佰肆拾玖万元整</v>
      </c>
      <c r="O58" s="2323"/>
    </row>
    <row r="59" spans="1:35" ht="24.75" thickBot="1">
      <c r="A59" s="3291" t="s">
        <v>1371</v>
      </c>
      <c r="B59" s="3292"/>
      <c r="C59" s="3292"/>
      <c r="D59" s="2346">
        <f ca="1">IF(H59="非个人房产","——",IF(H59="个人住宅（满五唯一有凭证）",0,IF(H59="个人其他（无凭证）",ROUND(D45*F59,0),ROUND(C67*F59,0))))</f>
        <v>136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9">
        <f>J57+1</f>
        <v>6</v>
      </c>
      <c r="K59" s="3287" t="s">
        <v>1372</v>
      </c>
      <c r="L59" s="2310" t="s">
        <v>1368</v>
      </c>
      <c r="M59" s="2324"/>
      <c r="N59" s="2325">
        <f ca="1">M49-N57</f>
        <v>6073</v>
      </c>
      <c r="O59" s="2326"/>
    </row>
    <row r="60" spans="1:35" ht="12" customHeight="1">
      <c r="A60" s="1671"/>
      <c r="B60" s="646"/>
      <c r="C60" s="646"/>
      <c r="D60" s="646"/>
      <c r="E60" s="1466"/>
      <c r="F60" s="1670"/>
      <c r="G60" s="1670"/>
      <c r="H60" s="151"/>
      <c r="I60" s="121"/>
      <c r="J60" s="3290"/>
      <c r="K60" s="3287"/>
      <c r="L60" s="2317" t="s">
        <v>1370</v>
      </c>
      <c r="M60" s="2321"/>
      <c r="N60" s="2322" t="str">
        <f ca="1">NUMBERSTRING(INT(N59*10000),2)&amp;"元整"</f>
        <v>陆仟零柒拾叁万元整</v>
      </c>
      <c r="O60" s="2323"/>
    </row>
    <row r="61" spans="1:35" ht="13.5" thickBot="1">
      <c r="A61" s="3346" t="s">
        <v>1373</v>
      </c>
      <c r="B61" s="3346"/>
      <c r="C61" s="3346"/>
      <c r="D61" s="3346"/>
      <c r="E61" s="3346"/>
      <c r="F61" s="1670"/>
      <c r="G61" s="1670"/>
      <c r="H61" s="151"/>
      <c r="I61" s="121"/>
      <c r="J61" s="2310">
        <f>J59+1</f>
        <v>7</v>
      </c>
      <c r="K61" s="3287" t="s">
        <v>1374</v>
      </c>
      <c r="L61" s="3287"/>
      <c r="M61" s="2327"/>
      <c r="N61" s="2328">
        <f ca="1">ROUND(N59*10000/'数据-汇总表'!E3,0)</f>
        <v>6909</v>
      </c>
      <c r="O61" s="2329"/>
    </row>
    <row r="62" spans="1:35" ht="12.75">
      <c r="A62" s="3306" t="s">
        <v>1375</v>
      </c>
      <c r="B62" s="3307"/>
      <c r="C62" s="1865"/>
      <c r="D62" s="1865" t="s">
        <v>1376</v>
      </c>
      <c r="E62" s="158" t="s">
        <v>1377</v>
      </c>
      <c r="F62" s="1670"/>
      <c r="G62" s="1670"/>
      <c r="H62" s="151"/>
      <c r="I62" s="121"/>
    </row>
    <row r="63" spans="1:35" ht="12.75">
      <c r="A63" s="165" t="s">
        <v>330</v>
      </c>
      <c r="B63" s="159" t="s">
        <v>1378</v>
      </c>
      <c r="C63" s="2350">
        <f ca="1">ROUND((C64+C65)/(1+'数据-取费表'!C42),0)</f>
        <v>13640</v>
      </c>
      <c r="D63" s="159"/>
      <c r="E63" s="160"/>
      <c r="F63" s="1670"/>
      <c r="G63" s="1670"/>
      <c r="H63" s="151"/>
      <c r="I63" s="121"/>
      <c r="J63" s="3270" t="s">
        <v>1379</v>
      </c>
      <c r="K63" s="1245" t="s">
        <v>1380</v>
      </c>
      <c r="L63" s="1245">
        <f ca="1">IF(M49&gt;10000,M49*0.5%,IF(AND(M49&gt;1000,M49&lt;=10000),M49*1%,IF(AND(M49&gt;100,M49&lt;=1000),M49*3%,IF(AND(M49&gt;10,M49&lt;=100),M49*5%,M49*8%))))</f>
        <v>71.61</v>
      </c>
      <c r="M63" s="294">
        <f ca="1">ROUND(L63,1)</f>
        <v>71.599999999999994</v>
      </c>
      <c r="N63" s="2330"/>
      <c r="Z63" s="1623"/>
      <c r="AI63" s="1561"/>
    </row>
    <row r="64" spans="1:35" ht="14.25" customHeight="1">
      <c r="A64" s="161" t="s">
        <v>325</v>
      </c>
      <c r="B64" s="162" t="s">
        <v>1381</v>
      </c>
      <c r="C64" s="2351">
        <f ca="1">D45</f>
        <v>14322</v>
      </c>
      <c r="D64" s="162" t="s">
        <v>26</v>
      </c>
      <c r="E64" s="164"/>
      <c r="F64" s="1670"/>
      <c r="G64" s="1670"/>
      <c r="H64" s="151"/>
      <c r="I64" s="121"/>
      <c r="J64" s="3270"/>
      <c r="K64" s="1245" t="s">
        <v>1382</v>
      </c>
      <c r="L64" s="1245">
        <f ca="1">IF(M49&gt;2000,M49*0.5%,IF(AND(M49&gt;1000,M49&lt;=2000),M49*0.6%,IF(AND(M49&gt;500,M49&lt;=1000),M49*0.7%,IF(AND(M49&gt;200,M49&lt;=500),M49*0.8%,IF(AND(M49&gt;100,M49&lt;=200),M49*0.9%,IF(AND(M49&gt;50,M49&lt;=100),M49*1%,IF(AND(M49&gt;20,M49&lt;=50),M49*1.5%,IF(AND(M49&gt;10,M49&lt;=20),M49*2%,IF(AND(M49&gt;1,M49&lt;=10),M49*2.5%)))))))))</f>
        <v>71.61</v>
      </c>
      <c r="M64" s="294">
        <f t="shared" ref="M64:M65" ca="1" si="1">ROUND(L64,1)</f>
        <v>71.599999999999994</v>
      </c>
      <c r="N64" s="2331" t="s">
        <v>1383</v>
      </c>
      <c r="Z64" s="1623"/>
      <c r="AI64" s="1561"/>
    </row>
    <row r="65" spans="1:35" ht="14.25" customHeight="1">
      <c r="A65" s="161" t="s">
        <v>326</v>
      </c>
      <c r="B65" s="162" t="s">
        <v>1384</v>
      </c>
      <c r="C65" s="2352"/>
      <c r="D65" s="162"/>
      <c r="E65" s="164"/>
      <c r="F65" s="1670"/>
      <c r="G65" s="1670"/>
      <c r="H65" s="151"/>
      <c r="I65" s="121"/>
      <c r="J65" s="3270"/>
      <c r="K65" s="1245" t="s">
        <v>1385</v>
      </c>
      <c r="L65" s="1245">
        <f ca="1">IF(M49&gt;1000,M49*0.1%,IF(AND(M49&gt;500,M49&lt;=1000),M49*0.5%,IF(AND(M49&gt;50,M49&lt;=500),M49*1%,IF(AND(M49&gt;1,M49&lt;=50),M49*1.5%))))</f>
        <v>14.322000000000001</v>
      </c>
      <c r="M65" s="294">
        <f t="shared" ca="1" si="1"/>
        <v>14.3</v>
      </c>
      <c r="N65" s="2331" t="s">
        <v>1383</v>
      </c>
      <c r="Z65" s="1623"/>
      <c r="AI65" s="1561"/>
    </row>
    <row r="66" spans="1:35" ht="14.25" customHeight="1">
      <c r="A66" s="165" t="s">
        <v>327</v>
      </c>
      <c r="B66" s="166" t="s">
        <v>1386</v>
      </c>
      <c r="C66" s="2353"/>
      <c r="D66" s="166" t="s">
        <v>26</v>
      </c>
      <c r="E66" s="1251" t="s">
        <v>671</v>
      </c>
      <c r="F66" s="1670"/>
      <c r="G66" s="1670"/>
      <c r="H66" s="151"/>
      <c r="I66" s="121"/>
      <c r="J66" s="3270"/>
      <c r="K66" s="1245" t="s">
        <v>1387</v>
      </c>
      <c r="L66" s="1245">
        <f ca="1">M49*0.5%</f>
        <v>71.61</v>
      </c>
      <c r="M66" s="294">
        <f ca="1">IF(L66&gt;0.5,0.5,ROUND(L66,0))</f>
        <v>0.5</v>
      </c>
      <c r="N66" s="2331" t="s">
        <v>1388</v>
      </c>
      <c r="Z66" s="1623"/>
      <c r="AI66" s="1561"/>
    </row>
    <row r="67" spans="1:35" ht="14.25" customHeight="1">
      <c r="A67" s="165" t="s">
        <v>328</v>
      </c>
      <c r="B67" s="166" t="s">
        <v>1389</v>
      </c>
      <c r="C67" s="2354">
        <f ca="1">C63-C66</f>
        <v>13640</v>
      </c>
      <c r="D67" s="162" t="s">
        <v>26</v>
      </c>
      <c r="E67" s="164"/>
      <c r="F67" s="1670"/>
      <c r="G67" s="1670"/>
      <c r="H67" s="151"/>
      <c r="I67" s="121"/>
      <c r="J67" s="3270"/>
      <c r="K67" s="1245" t="s">
        <v>1390</v>
      </c>
      <c r="L67" s="1245">
        <f ca="1">IF(M49&gt;=10000,(8.25+(M49-10000)*0.01%),IF(AND(M49&gt;=8000,M49&lt;10000),(7.85+(M49-8000)*0.02%),IF(AND(M49&gt;=5000,M49&lt;8000),(6.65+(M49-5000)*0.04%),IF(AND(M49&gt;=2000,M49&lt;5000),(4.25+(PM49-2000)*0.08%),IF(AND(M49&gt;=1000,M49&lt;2000),(2.75+(M49-1000)*0.15%),IF(AND(M49&gt;=100,M49&lt;1000),(0.5+(M49-100)*0.25%),IF(AND(M49&gt;0,M49&lt;100),M49*0.5%)))))))</f>
        <v>8.6821999999999999</v>
      </c>
      <c r="M67" s="294">
        <f ca="1">ROUND(L67*0.9,1)</f>
        <v>7.8</v>
      </c>
      <c r="N67" s="2330"/>
      <c r="Z67" s="1623"/>
      <c r="AI67" s="1561"/>
    </row>
    <row r="68" spans="1:35" ht="14.25" customHeight="1" thickBot="1">
      <c r="A68" s="168" t="s">
        <v>329</v>
      </c>
      <c r="B68" s="169" t="s">
        <v>1391</v>
      </c>
      <c r="C68" s="2355">
        <f ca="1">IF(C67&lt;=0,0,ROUND(C67*D68,0))</f>
        <v>764</v>
      </c>
      <c r="D68" s="2356">
        <f>'数据-取费表'!B41</f>
        <v>5.6000000000000001E-2</v>
      </c>
      <c r="E68" s="170"/>
      <c r="F68" s="1670"/>
      <c r="G68" s="1670"/>
      <c r="H68" s="151"/>
      <c r="I68" s="121"/>
      <c r="J68" s="3270"/>
      <c r="K68" s="1245" t="s">
        <v>1392</v>
      </c>
      <c r="L68" s="1245">
        <f ca="1">IF(M49&gt;10000,M49*0.5%,IF(AND(M49&gt;5000,M49&lt;=10000),M49*1%,IF(AND(M49&gt;1000,M49&lt;=5000),M49*2%,IF(AND(M49&gt;200,M49&lt;=1000),M49*3%,M49*5%))))</f>
        <v>71.61</v>
      </c>
      <c r="M68" s="294">
        <f ca="1">ROUND(L68,1)</f>
        <v>71.599999999999994</v>
      </c>
      <c r="N68" s="2330"/>
      <c r="Z68" s="1623"/>
      <c r="AI68" s="1561"/>
    </row>
    <row r="69" spans="1:35" ht="16.5" customHeight="1">
      <c r="A69" s="1672"/>
      <c r="B69" s="1673"/>
      <c r="C69" s="1674"/>
      <c r="D69" s="1675"/>
      <c r="E69" s="1676"/>
      <c r="F69" s="1466"/>
      <c r="G69" s="1466"/>
      <c r="H69" s="1467"/>
      <c r="I69" s="646"/>
      <c r="J69" s="3270"/>
      <c r="K69" s="1245" t="s">
        <v>1393</v>
      </c>
      <c r="L69" s="1245"/>
      <c r="M69" s="294">
        <f ca="1">ROUND(SUM(M63:M68),0)</f>
        <v>237</v>
      </c>
      <c r="N69" s="2332">
        <f ca="1">M69/M49</f>
        <v>1.6547968160871385E-2</v>
      </c>
      <c r="Z69" s="1623"/>
      <c r="AI69" s="1561"/>
    </row>
    <row r="70" spans="1:35" s="642" customFormat="1" ht="15"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6" t="s">
        <v>1375</v>
      </c>
      <c r="B71" s="330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13640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82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1" t="s">
        <v>1402</v>
      </c>
      <c r="F76" s="3310"/>
      <c r="G76" s="3310"/>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82</v>
      </c>
      <c r="D78" s="2363">
        <f>'数据-取费表'!B43</f>
        <v>6.000000000000001E-3</v>
      </c>
      <c r="E78" s="3303" t="s">
        <v>1406</v>
      </c>
      <c r="F78" s="3304"/>
      <c r="G78" s="3304"/>
      <c r="H78" s="330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13558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165.34146341463415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8106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6" t="s">
        <v>1375</v>
      </c>
      <c r="B84" s="330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13640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82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2" t="s">
        <v>2129</v>
      </c>
      <c r="H90" s="327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3" t="s">
        <v>1419</v>
      </c>
      <c r="F91" s="3304"/>
      <c r="G91" s="330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3" t="s">
        <v>1422</v>
      </c>
      <c r="F92" s="3304"/>
      <c r="G92" s="3304"/>
      <c r="H92" s="330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82</v>
      </c>
      <c r="D93" s="2363">
        <f>'数据-取费表'!B43</f>
        <v>6.000000000000001E-3</v>
      </c>
      <c r="E93" s="3303" t="s">
        <v>1406</v>
      </c>
      <c r="F93" s="3304"/>
      <c r="G93" s="3304"/>
      <c r="H93" s="330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8" t="s">
        <v>1426</v>
      </c>
      <c r="F94" s="3349"/>
      <c r="G94" s="3349"/>
      <c r="H94" s="335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13558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165.34146341463415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8106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88"/>
      <c r="E100" s="3254" t="s">
        <v>1429</v>
      </c>
      <c r="F100" s="3254"/>
      <c r="G100" s="3254"/>
      <c r="H100" s="3288"/>
      <c r="I100" s="121"/>
    </row>
    <row r="101" spans="1:35" ht="18.75" customHeight="1">
      <c r="A101" s="3296" t="s">
        <v>1430</v>
      </c>
      <c r="B101" s="3297"/>
      <c r="C101" s="2371" t="str">
        <f>C4</f>
        <v>成本法</v>
      </c>
      <c r="D101" s="2372" t="str">
        <f>D4</f>
        <v>收益法-酒店模型</v>
      </c>
      <c r="E101" s="3266" t="s">
        <v>1431</v>
      </c>
      <c r="F101" s="3267"/>
      <c r="G101" s="1687" t="s">
        <v>1432</v>
      </c>
      <c r="H101" s="2381">
        <f ca="1">H118</f>
        <v>14322</v>
      </c>
      <c r="I101" s="121"/>
    </row>
    <row r="102" spans="1:35" ht="18.75" customHeight="1">
      <c r="A102" s="3298" t="s">
        <v>1433</v>
      </c>
      <c r="B102" s="2370" t="s">
        <v>1432</v>
      </c>
      <c r="C102" s="2371">
        <f ca="1">IF(D32="楼面单价",ROUND(C19,0),C19)</f>
        <v>20958</v>
      </c>
      <c r="D102" s="2372">
        <f ca="1">IF(D32="楼面单价",ROUND(D19,0),D19)</f>
        <v>9898</v>
      </c>
      <c r="E102" s="3266"/>
      <c r="F102" s="3267"/>
      <c r="G102" s="1687" t="s">
        <v>1434</v>
      </c>
      <c r="H102" s="2341">
        <f ca="1">I118</f>
        <v>16294</v>
      </c>
      <c r="I102" s="121"/>
    </row>
    <row r="103" spans="1:35" ht="42.75" customHeight="1">
      <c r="A103" s="3298"/>
      <c r="B103" s="2370" t="s">
        <v>1434</v>
      </c>
      <c r="C103" s="2373">
        <f ca="1">C20</f>
        <v>23844</v>
      </c>
      <c r="D103" s="2374">
        <f ca="1">D20</f>
        <v>11261</v>
      </c>
      <c r="E103" s="3259" t="s">
        <v>1435</v>
      </c>
      <c r="F103" s="3260"/>
      <c r="G103" s="1688" t="s">
        <v>1436</v>
      </c>
      <c r="H103" s="2381">
        <f>IF(D36="正常操作",H104+H105+H106,H105+H106)</f>
        <v>0</v>
      </c>
      <c r="I103" s="121"/>
    </row>
    <row r="104" spans="1:35" ht="18.75" customHeight="1">
      <c r="A104" s="3298" t="s">
        <v>1437</v>
      </c>
      <c r="B104" s="2375" t="s">
        <v>1432</v>
      </c>
      <c r="C104" s="2376">
        <f ca="1">H118</f>
        <v>14322</v>
      </c>
      <c r="D104" s="2377"/>
      <c r="E104" s="1555" t="s">
        <v>1438</v>
      </c>
      <c r="F104" s="1548"/>
      <c r="G104" s="1688" t="s">
        <v>1436</v>
      </c>
      <c r="H104" s="2382">
        <f>IF(D36="同一抵押权人同一抵押物续贷",C36&amp;"（续贷，未扣减，详见特别提示）",C36)</f>
        <v>0</v>
      </c>
      <c r="I104" s="121"/>
    </row>
    <row r="105" spans="1:35" ht="18.75" customHeight="1" thickBot="1">
      <c r="A105" s="3308"/>
      <c r="B105" s="2378" t="s">
        <v>1434</v>
      </c>
      <c r="C105" s="2379">
        <f ca="1">I118</f>
        <v>16294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9" t="str">
        <f>IF(项目基本情况!E8="已注销","——","3.房地产抵押价值")</f>
        <v>3.房地产抵押价值</v>
      </c>
      <c r="F107" s="3267"/>
      <c r="G107" s="1687" t="s">
        <v>1432</v>
      </c>
      <c r="H107" s="2381">
        <f ca="1">IF(E107="——","——",H101-H103)</f>
        <v>14322</v>
      </c>
      <c r="I107" s="121"/>
    </row>
    <row r="108" spans="1:35" ht="18.75" customHeight="1">
      <c r="A108" s="121"/>
      <c r="B108" s="121"/>
      <c r="C108" s="121"/>
      <c r="D108" s="121"/>
      <c r="E108" s="3299"/>
      <c r="F108" s="3267"/>
      <c r="G108" s="1687" t="s">
        <v>1434</v>
      </c>
      <c r="H108" s="2341">
        <f ca="1">IF(H107=H101,H102,ROUND(H107*10000/'数据-汇总表'!E3,0))</f>
        <v>16294</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267"/>
      <c r="G109" s="1687" t="s">
        <v>1432</v>
      </c>
      <c r="H109" s="2384" t="str">
        <f>IF(E109="——","——",H101-H105-H106)</f>
        <v>——</v>
      </c>
      <c r="I109" s="121"/>
    </row>
    <row r="110" spans="1:35" ht="18.75" customHeight="1">
      <c r="A110" s="121"/>
      <c r="B110" s="121"/>
      <c r="C110" s="121"/>
      <c r="D110" s="121"/>
      <c r="E110" s="3299"/>
      <c r="F110" s="3267"/>
      <c r="G110" s="1687" t="s">
        <v>1434</v>
      </c>
      <c r="H110" s="2341" t="str">
        <f>IF(H109="——","——",ROUND(H109*10000/'数据-汇总表'!E3,0))</f>
        <v>——</v>
      </c>
      <c r="I110" s="121"/>
    </row>
    <row r="111" spans="1:35" ht="18.75" customHeight="1">
      <c r="A111" s="121"/>
      <c r="B111" s="121"/>
      <c r="C111" s="121"/>
      <c r="D111" s="121"/>
      <c r="E111" s="3300" t="str">
        <f>IF(项目基本情况!E9="抵押净值",IF(OR(项目基本情况!E8="已注销",项目基本情况!E8="房地产抵押价值"),"4.抵押净值","5.抵押净值"),"——")</f>
        <v>——</v>
      </c>
      <c r="F111" s="3286"/>
      <c r="G111" s="1687" t="s">
        <v>1432</v>
      </c>
      <c r="H111" s="2381" t="str">
        <f>IF(E111="——","——",N59)</f>
        <v>——</v>
      </c>
      <c r="I111" s="121"/>
    </row>
    <row r="112" spans="1:35" ht="18.75" customHeight="1" thickBot="1">
      <c r="A112" s="121"/>
      <c r="B112" s="121"/>
      <c r="C112" s="121"/>
      <c r="D112" s="121"/>
      <c r="E112" s="3301"/>
      <c r="F112" s="3302"/>
      <c r="G112" s="1690" t="s">
        <v>1434</v>
      </c>
      <c r="H112" s="2385"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4" t="s">
        <v>1443</v>
      </c>
      <c r="B116" s="3278" t="s">
        <v>1444</v>
      </c>
      <c r="C116" s="3278" t="s">
        <v>1445</v>
      </c>
      <c r="D116" s="3284" t="s">
        <v>1446</v>
      </c>
      <c r="E116" s="3285"/>
      <c r="F116" s="3316" t="s">
        <v>1447</v>
      </c>
      <c r="G116" s="3316"/>
      <c r="H116" s="3274" t="s">
        <v>1448</v>
      </c>
      <c r="I116" s="3274"/>
    </row>
    <row r="117" spans="1:27" ht="18.75" customHeight="1">
      <c r="A117" s="3274"/>
      <c r="B117" s="3279"/>
      <c r="C117" s="327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8789.66</v>
      </c>
      <c r="C118" s="2150">
        <f>M19</f>
        <v>0</v>
      </c>
      <c r="D118" s="2150">
        <f ca="1">ROUND(IF(D32="总价",C34,E118*B118/10000),0)</f>
        <v>11128</v>
      </c>
      <c r="E118" s="2150">
        <f ca="1">ROUND(IF(C33="自定义",IF(D32="楼面单价",C34,D118*10000/B118),I118-G118),0)</f>
        <v>12660</v>
      </c>
      <c r="F118" s="2150">
        <f ca="1">ROUND(IF(D32="总价",C35,G118*B118/10000),0)</f>
        <v>3194</v>
      </c>
      <c r="G118" s="2150">
        <f ca="1">ROUND(IF(D32="楼面单价",C35,F118*10000/B118),0)</f>
        <v>3634</v>
      </c>
      <c r="H118" s="2150">
        <f ca="1">ROUND(IF(D32="总价",C32,I118*B118/10000),0)</f>
        <v>14322</v>
      </c>
      <c r="I118" s="2150">
        <f ca="1">ROUND(IF(D32="楼面单价",C32,H118*10000/B118),0)</f>
        <v>16294</v>
      </c>
    </row>
    <row r="119" spans="1:27" ht="18.75" customHeight="1">
      <c r="A119" s="3274" t="s">
        <v>1452</v>
      </c>
      <c r="B119" s="3274"/>
      <c r="C119" s="3274"/>
      <c r="D119" s="3280" t="str">
        <f ca="1">NUMBERSTRING(INT(D118*10000),2)&amp;"元整"</f>
        <v>壹亿壹仟壹佰贰拾捌万元整</v>
      </c>
      <c r="E119" s="3281"/>
      <c r="F119" s="3280" t="str">
        <f ca="1">NUMBERSTRING(INT(F118*10000),2)&amp;"元整"</f>
        <v>叁仟壹佰玖拾肆万元整</v>
      </c>
      <c r="G119" s="3281"/>
      <c r="H119" s="3280" t="str">
        <f ca="1">NUMBERSTRING(INT(H118*10000),2)&amp;"元整"</f>
        <v>壹亿肆仟叁佰贰拾贰万元整</v>
      </c>
      <c r="I119" s="3281"/>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0" t="s">
        <v>1452</v>
      </c>
      <c r="B121" s="3282"/>
      <c r="C121" s="3281"/>
      <c r="D121" s="3280" t="str">
        <f>IF(D120=0,"零元整",NUMBERSTRING(INT(D120*10000),2)&amp;"元整")</f>
        <v>零元整</v>
      </c>
      <c r="E121" s="3282"/>
      <c r="F121" s="3282"/>
      <c r="G121" s="3282"/>
      <c r="H121" s="3282"/>
      <c r="I121" s="3281"/>
      <c r="AA121" s="684"/>
    </row>
    <row r="122" spans="1:27" ht="18.75" customHeight="1">
      <c r="A122" s="3286" t="str">
        <f>IF(项目基本情况!B9="房地产市场价值","",MID(E107,3,LEN(E107)-2))</f>
        <v>房地产抵押价值</v>
      </c>
      <c r="B122" s="3286"/>
      <c r="C122" s="3286"/>
      <c r="D122" s="3275">
        <f ca="1">H107</f>
        <v>14322</v>
      </c>
      <c r="E122" s="3276"/>
      <c r="F122" s="3276"/>
      <c r="G122" s="3276"/>
      <c r="H122" s="3276"/>
      <c r="I122" s="3277"/>
      <c r="AA122" s="684"/>
    </row>
    <row r="123" spans="1:27" ht="18.75" customHeight="1">
      <c r="A123" s="3274" t="s">
        <v>1452</v>
      </c>
      <c r="B123" s="3274"/>
      <c r="C123" s="3274"/>
      <c r="D123" s="3280" t="str">
        <f ca="1">NUMBERSTRING(INT(D122*10000),2)&amp;"元整"</f>
        <v>壹亿肆仟叁佰贰拾贰万元整</v>
      </c>
      <c r="E123" s="3282"/>
      <c r="F123" s="3282"/>
      <c r="G123" s="3282"/>
      <c r="H123" s="3282"/>
      <c r="I123" s="3281"/>
      <c r="AA123" s="684"/>
    </row>
    <row r="124" spans="1:27" ht="18.75" customHeight="1">
      <c r="A124" s="3286" t="str">
        <f>IF(项目基本情况!B9="房地产市场价值","",MID(E109,3,LEN(E109)-2))</f>
        <v/>
      </c>
      <c r="B124" s="3286"/>
      <c r="C124" s="3286"/>
      <c r="D124" s="3275" t="str">
        <f>H109</f>
        <v>——</v>
      </c>
      <c r="E124" s="3276"/>
      <c r="F124" s="3276"/>
      <c r="G124" s="3276"/>
      <c r="H124" s="3276"/>
      <c r="I124" s="3277"/>
      <c r="AA124" s="684"/>
    </row>
    <row r="125" spans="1:27" ht="18.75" customHeight="1">
      <c r="A125" s="3274" t="s">
        <v>1452</v>
      </c>
      <c r="B125" s="3274"/>
      <c r="C125" s="3274"/>
      <c r="D125" s="3280" t="e">
        <f>NUMBERSTRING(INT(D124*10000),2)&amp;"元整"</f>
        <v>#VALUE!</v>
      </c>
      <c r="E125" s="3282"/>
      <c r="F125" s="3282"/>
      <c r="G125" s="3282"/>
      <c r="H125" s="3282"/>
      <c r="I125" s="3281"/>
      <c r="AA125" s="684"/>
    </row>
    <row r="126" spans="1:27" ht="18.75" customHeight="1">
      <c r="A126" s="3286" t="str">
        <f>IF(项目基本情况!B9="房地产市场价值","",MID(E111,3,LEN(E111)-2))</f>
        <v/>
      </c>
      <c r="B126" s="3286"/>
      <c r="C126" s="3286"/>
      <c r="D126" s="3275" t="str">
        <f>H111</f>
        <v>——</v>
      </c>
      <c r="E126" s="3276"/>
      <c r="F126" s="3276"/>
      <c r="G126" s="3276"/>
      <c r="H126" s="3276"/>
      <c r="I126" s="3277"/>
      <c r="AA126" s="684"/>
    </row>
    <row r="127" spans="1:27" ht="18.75" customHeight="1">
      <c r="A127" s="3274" t="s">
        <v>1452</v>
      </c>
      <c r="B127" s="3274"/>
      <c r="C127" s="3274"/>
      <c r="D127" s="3280" t="e">
        <f>NUMBERSTRING(INT(D126*10000),2)&amp;"元整"</f>
        <v>#VALUE!</v>
      </c>
      <c r="E127" s="3282"/>
      <c r="F127" s="3282"/>
      <c r="G127" s="3282"/>
      <c r="H127" s="3282"/>
      <c r="I127" s="3281"/>
      <c r="AA127" s="684"/>
    </row>
    <row r="128" spans="1:27" ht="21.75" customHeight="1">
      <c r="A128" s="3283" t="s">
        <v>1453</v>
      </c>
      <c r="B128" s="3283"/>
      <c r="C128" s="3283"/>
      <c r="D128" s="3283"/>
      <c r="E128" s="3283"/>
      <c r="F128" s="3283"/>
      <c r="G128" s="3283"/>
      <c r="H128" s="3283"/>
      <c r="I128" s="328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 zoomScale="85" zoomScaleNormal="70" zoomScaleSheetLayoutView="85" workbookViewId="0">
      <selection activeCell="K30" sqref="K3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20958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23844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11678</v>
      </c>
      <c r="D5" s="203" t="s">
        <v>1469</v>
      </c>
      <c r="E5" s="204" t="s">
        <v>1470</v>
      </c>
      <c r="F5" s="204" t="s">
        <v>1471</v>
      </c>
      <c r="G5" s="205"/>
    </row>
    <row r="6" spans="1:9" s="206" customFormat="1" ht="13.5" customHeight="1">
      <c r="A6" s="732" t="s">
        <v>1472</v>
      </c>
      <c r="B6" s="207" t="s">
        <v>1473</v>
      </c>
      <c r="C6" s="208">
        <f>基准地价修正!B2</f>
        <v>11162</v>
      </c>
      <c r="D6" s="209"/>
      <c r="E6" s="210"/>
      <c r="F6" s="210"/>
      <c r="G6" s="211"/>
    </row>
    <row r="7" spans="1:9" s="206" customFormat="1" ht="13.5" customHeight="1">
      <c r="A7" s="732" t="s">
        <v>1474</v>
      </c>
      <c r="B7" s="207" t="s">
        <v>1475</v>
      </c>
      <c r="C7" s="212">
        <f>ROUND(C6*F7,0)</f>
        <v>340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176</v>
      </c>
      <c r="D8" s="214"/>
      <c r="E8" s="212"/>
      <c r="F8" s="213"/>
      <c r="G8" s="1714" t="s">
        <v>3443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3444</v>
      </c>
      <c r="H9" s="1070"/>
      <c r="I9" s="1716" t="s">
        <v>1479</v>
      </c>
    </row>
    <row r="10" spans="1:9" s="206" customFormat="1" ht="13.5" customHeight="1">
      <c r="A10" s="733" t="s">
        <v>356</v>
      </c>
      <c r="B10" s="216" t="s">
        <v>1480</v>
      </c>
      <c r="C10" s="217">
        <f ca="1">ROUND(D10*E10/10000,0)</f>
        <v>176</v>
      </c>
      <c r="D10" s="795">
        <f ca="1">IF(B1="",'数据-汇总表'!E6,IF(INDIRECT("'数据-取费表'!c"&amp;$G$1)="住宅",INDIRECT("'数据-取费表'!s"&amp;$G$1),INDIRECT("'数据-取费表'!k"&amp;$G$1)+INDIRECT("'数据-取费表'!s"&amp;$G$1)))</f>
        <v>8789.66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8789.66</v>
      </c>
      <c r="E19" s="203">
        <f>'数据-取费表'!B31</f>
        <v>200</v>
      </c>
      <c r="F19" s="223"/>
      <c r="G19" s="1714" t="s">
        <v>3445</v>
      </c>
    </row>
    <row r="20" spans="1:7" s="206" customFormat="1" ht="13.5" customHeight="1">
      <c r="A20" s="247" t="s">
        <v>1493</v>
      </c>
      <c r="B20" s="202" t="s">
        <v>1494</v>
      </c>
      <c r="C20" s="224">
        <f ca="1">ROUND((C5+C19)*F20,0)</f>
        <v>234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718</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711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7</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2382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2382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16280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4408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3955</v>
      </c>
      <c r="D34" s="209"/>
      <c r="E34" s="212"/>
      <c r="F34" s="249">
        <f ca="1">IF('数据-取费表'!B24=0,1,IF(B1="",'数据-取费表'!N16,INDIRECT("'数据-取费表'!n"&amp;$G$1)))</f>
        <v>1</v>
      </c>
      <c r="G34" s="211" t="s">
        <v>1526</v>
      </c>
    </row>
    <row r="35" spans="1:7" ht="13.5" customHeight="1">
      <c r="A35" s="734" t="s">
        <v>351</v>
      </c>
      <c r="B35" s="207" t="s">
        <v>1527</v>
      </c>
      <c r="C35" s="212">
        <f ca="1">ROUND(C34*F35,0)</f>
        <v>198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176</v>
      </c>
      <c r="D37" s="209">
        <f ca="1">D19</f>
        <v>8789.66</v>
      </c>
      <c r="E37" s="241">
        <f>'数据-取费表'!B35</f>
        <v>200</v>
      </c>
      <c r="F37" s="251"/>
      <c r="G37" s="253" t="s">
        <v>1532</v>
      </c>
    </row>
    <row r="38" spans="1:7" ht="13.5" customHeight="1">
      <c r="A38" s="734" t="s">
        <v>354</v>
      </c>
      <c r="B38" s="207" t="s">
        <v>1533</v>
      </c>
      <c r="C38" s="212">
        <f ca="1">ROUND(C34*F38,0)</f>
        <v>79</v>
      </c>
      <c r="D38" s="212"/>
      <c r="E38" s="212"/>
      <c r="F38" s="251">
        <f>'数据-取费表'!B36</f>
        <v>0.02</v>
      </c>
      <c r="G38" s="211" t="s">
        <v>1528</v>
      </c>
    </row>
    <row r="39" spans="1:7" s="206" customFormat="1" ht="13.5" customHeight="1">
      <c r="A39" s="247" t="s">
        <v>1534</v>
      </c>
      <c r="B39" s="202" t="s">
        <v>1535</v>
      </c>
      <c r="C39" s="224">
        <f ca="1">ROUND(C33*F20,0)</f>
        <v>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135</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132</v>
      </c>
      <c r="D42" s="230"/>
      <c r="E42" s="230"/>
      <c r="F42" s="231"/>
      <c r="G42" s="3353" t="s">
        <v>1544</v>
      </c>
    </row>
    <row r="43" spans="1:7" ht="13.5" customHeight="1">
      <c r="A43" s="734" t="s">
        <v>347</v>
      </c>
      <c r="B43" s="207" t="s">
        <v>1545</v>
      </c>
      <c r="C43" s="230">
        <f ca="1">ROUND(IF('数据-取费表'!B22&lt;=1,C39*F22*'数据-取费表'!B21/2,C39*(POWER((1+F22),'数据-取费表'!B21/2)-1)),0)</f>
        <v>3</v>
      </c>
      <c r="D43" s="230"/>
      <c r="E43" s="230"/>
      <c r="F43" s="231"/>
      <c r="G43" s="3354"/>
    </row>
    <row r="44" spans="1:7" ht="13.5" customHeight="1">
      <c r="A44" s="734" t="s">
        <v>348</v>
      </c>
      <c r="B44" s="207" t="s">
        <v>1546</v>
      </c>
      <c r="C44" s="230">
        <f ca="1">ROUND(IF('数据-取费表'!B22&lt;=1,C40*F22*'数据-取费表'!B21/2,C40*(POWER((1+F22),'数据-取费表'!B21/2)-1)),4)</f>
        <v>5.9999999999999995E-4</v>
      </c>
      <c r="D44" s="230"/>
      <c r="E44" s="230"/>
      <c r="F44" s="231"/>
      <c r="G44" s="3355"/>
    </row>
    <row r="45" spans="1:7" s="206" customFormat="1" ht="13.5" customHeight="1">
      <c r="A45" s="247" t="s">
        <v>1547</v>
      </c>
      <c r="B45" s="236" t="s">
        <v>1513</v>
      </c>
      <c r="C45" s="237">
        <f ca="1">C46</f>
        <v>899</v>
      </c>
      <c r="D45" s="227">
        <f ca="1">C47</f>
        <v>4.0000000000000001E-3</v>
      </c>
      <c r="E45" s="228" t="s">
        <v>1539</v>
      </c>
      <c r="F45" s="238">
        <f ca="1">F27</f>
        <v>0.2</v>
      </c>
      <c r="G45" s="239" t="s">
        <v>1548</v>
      </c>
    </row>
    <row r="46" spans="1:7" s="206" customFormat="1" ht="13.5" customHeight="1">
      <c r="A46" s="734" t="s">
        <v>346</v>
      </c>
      <c r="B46" s="240" t="s">
        <v>1549</v>
      </c>
      <c r="C46" s="241">
        <f ca="1">ROUND((C33+C39)*F27,0)</f>
        <v>899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5997</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4678</v>
      </c>
      <c r="D51" s="224"/>
      <c r="E51" s="224"/>
      <c r="F51" s="256"/>
      <c r="G51" s="226" t="s">
        <v>1560</v>
      </c>
    </row>
    <row r="52" spans="1:7" s="200" customFormat="1" ht="16.5" thickBot="1">
      <c r="A52" s="257" t="s">
        <v>1561</v>
      </c>
      <c r="B52" s="258"/>
      <c r="C52" s="259">
        <f ca="1">C31+C51</f>
        <v>20958</v>
      </c>
      <c r="D52" s="258"/>
      <c r="E52" s="258"/>
      <c r="F52" s="258"/>
      <c r="G52" s="260"/>
    </row>
    <row r="55" spans="1:7" ht="15">
      <c r="B55" s="262" t="s">
        <v>1562</v>
      </c>
      <c r="C55" s="263"/>
    </row>
    <row r="56" spans="1:7">
      <c r="B56" s="265" t="s">
        <v>802</v>
      </c>
      <c r="C56" s="267">
        <f ca="1">1-C57</f>
        <v>0.77700000000000002</v>
      </c>
    </row>
    <row r="57" spans="1:7">
      <c r="B57" s="265" t="s">
        <v>803</v>
      </c>
      <c r="C57" s="266">
        <f ca="1">ROUND(C51/C52,3)</f>
        <v>0.223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5168.1968999999999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5880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1757932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1757932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1757932</v>
      </c>
      <c r="D10" s="795">
        <f ca="1">IF(B1="",'数据-汇总表'!E6,IF(INDIRECT("'数据-取费表'!c"&amp;$G$1)="住宅",INDIRECT("'数据-取费表'!s"&amp;$G$1),INDIRECT("'数据-取费表'!k"&amp;$G$1)+INDIRECT("'数据-取费表'!s"&amp;$G$1)))</f>
        <v>8789.66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1757932</v>
      </c>
      <c r="D19" s="204">
        <f ca="1">D9+D10</f>
        <v>8789.66</v>
      </c>
      <c r="E19" s="203">
        <f>'数据-取费表'!B31</f>
        <v>200</v>
      </c>
      <c r="F19" s="223"/>
      <c r="G19" s="1714"/>
    </row>
    <row r="20" spans="1:7" s="206" customFormat="1" ht="13.5" customHeight="1">
      <c r="A20" s="247" t="s">
        <v>1574</v>
      </c>
      <c r="B20" s="202" t="s">
        <v>1575</v>
      </c>
      <c r="C20" s="224">
        <f ca="1">ROUND((C5+C19)*F20,0)</f>
        <v>70317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216226</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107058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107058</v>
      </c>
      <c r="D24" s="230"/>
      <c r="E24" s="230"/>
      <c r="F24" s="231"/>
      <c r="G24" s="232" t="s">
        <v>1586</v>
      </c>
    </row>
    <row r="25" spans="1:7" s="206" customFormat="1" ht="24">
      <c r="A25" s="734" t="s">
        <v>1476</v>
      </c>
      <c r="B25" s="207" t="s">
        <v>1587</v>
      </c>
      <c r="C25" s="230">
        <f ca="1">ROUND(IF('数据-取费表'!B22&lt;=1,C20*F22*'数据-取费表'!B22/2,C20*(POWER((1+F22),'数据-取费表'!B22/2)-1)),0)</f>
        <v>2110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717236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717236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4901467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44080145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39553470</v>
      </c>
      <c r="D34" s="209"/>
      <c r="E34" s="212"/>
      <c r="F34" s="249"/>
      <c r="G34" s="211"/>
    </row>
    <row r="35" spans="1:7" ht="13.5" customHeight="1">
      <c r="A35" s="734" t="s">
        <v>351</v>
      </c>
      <c r="B35" s="207" t="s">
        <v>1527</v>
      </c>
      <c r="C35" s="212">
        <f ca="1">ROUND(C34*F35,0)</f>
        <v>1977674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1757932</v>
      </c>
      <c r="D37" s="209">
        <f ca="1">D19</f>
        <v>8789.66</v>
      </c>
      <c r="E37" s="241">
        <f>'数据-取费表'!B35</f>
        <v>200</v>
      </c>
      <c r="F37" s="251"/>
      <c r="G37" s="253"/>
    </row>
    <row r="38" spans="1:7" ht="13.5" customHeight="1">
      <c r="A38" s="734" t="s">
        <v>354</v>
      </c>
      <c r="B38" s="207" t="s">
        <v>1533</v>
      </c>
      <c r="C38" s="212">
        <f ca="1">ROUND(C34*F38,0)</f>
        <v>791069</v>
      </c>
      <c r="D38" s="212"/>
      <c r="E38" s="212"/>
      <c r="F38" s="251">
        <f>'数据-取费表'!B36</f>
        <v>0.02</v>
      </c>
      <c r="G38" s="211" t="s">
        <v>1528</v>
      </c>
    </row>
    <row r="39" spans="1:7" s="206" customFormat="1" ht="13.5" customHeight="1">
      <c r="A39" s="247" t="s">
        <v>1534</v>
      </c>
      <c r="B39" s="202" t="s">
        <v>1535</v>
      </c>
      <c r="C39" s="224">
        <f ca="1">ROUND(C33*F20,0)</f>
        <v>881603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1348852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1322404</v>
      </c>
      <c r="D42" s="230"/>
      <c r="E42" s="230"/>
      <c r="F42" s="231"/>
      <c r="G42" s="3353" t="s">
        <v>1591</v>
      </c>
    </row>
    <row r="43" spans="1:7" ht="13.5" customHeight="1">
      <c r="A43" s="734" t="s">
        <v>347</v>
      </c>
      <c r="B43" s="207" t="s">
        <v>1545</v>
      </c>
      <c r="C43" s="230">
        <f ca="1">ROUND(IF('数据-取费表'!B22&lt;=1,C39*F22*'数据-取费表'!B20/2,C39*(POWER((1+F22),'数据-取费表'!B20/2)-1)),0)</f>
        <v>26448</v>
      </c>
      <c r="D43" s="230"/>
      <c r="E43" s="230"/>
      <c r="F43" s="231"/>
      <c r="G43" s="3354"/>
    </row>
    <row r="44" spans="1:7" ht="13.5" customHeight="1">
      <c r="A44" s="734" t="s">
        <v>348</v>
      </c>
      <c r="B44" s="207" t="s">
        <v>1546</v>
      </c>
      <c r="C44" s="230">
        <f ca="1">ROUND(IF('数据-取费表'!B22&lt;=1,C40*F22*'数据-取费表'!B20/2,C40*(POWER((1+F22),'数据-取费表'!B20/2)-1)),4)</f>
        <v>5.9999999999999995E-4</v>
      </c>
      <c r="D44" s="230"/>
      <c r="E44" s="230"/>
      <c r="F44" s="231"/>
      <c r="G44" s="3355"/>
    </row>
    <row r="45" spans="1:7" s="206" customFormat="1" ht="13.5" customHeight="1">
      <c r="A45" s="247" t="s">
        <v>1547</v>
      </c>
      <c r="B45" s="236" t="s">
        <v>1513</v>
      </c>
      <c r="C45" s="237">
        <f ca="1">C46</f>
        <v>8992350</v>
      </c>
      <c r="D45" s="227">
        <f ca="1">C47</f>
        <v>4.0000000000000001E-3</v>
      </c>
      <c r="E45" s="228" t="s">
        <v>1539</v>
      </c>
      <c r="F45" s="238">
        <f ca="1">F27</f>
        <v>0.2</v>
      </c>
      <c r="G45" s="239" t="s">
        <v>1548</v>
      </c>
    </row>
    <row r="46" spans="1:7" s="206" customFormat="1" ht="13.5" customHeight="1">
      <c r="A46" s="734" t="s">
        <v>346</v>
      </c>
      <c r="B46" s="240" t="s">
        <v>1549</v>
      </c>
      <c r="C46" s="241">
        <f ca="1">ROUND((C33+C39)*F27,0)</f>
        <v>8992350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59975003</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46780502</v>
      </c>
      <c r="D51" s="224"/>
      <c r="E51" s="224"/>
      <c r="F51" s="256"/>
      <c r="G51" s="226" t="s">
        <v>1560</v>
      </c>
    </row>
    <row r="52" spans="1:7" s="200" customFormat="1" ht="16.5" thickBot="1">
      <c r="A52" s="257" t="s">
        <v>1561</v>
      </c>
      <c r="B52" s="258"/>
      <c r="C52" s="259">
        <f ca="1">C31+C51</f>
        <v>51681969</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8789.66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8789.66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176</v>
      </c>
      <c r="D20" s="796">
        <f ca="1">IF(C1="",'数据-汇总表'!E6,IF(INDIRECT("'数据-取费表'!c"&amp;$K$1)="住宅",INDIRECT("'数据-取费表'!s"&amp;$K$1),INDIRECT("'数据-取费表'!k"&amp;$K$1)+INDIRECT("'数据-取费表'!s"&amp;$K$1)))</f>
        <v>8789.66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X6" sqref="A6:X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1628.68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11162</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19029</v>
      </c>
      <c r="U2" s="1130">
        <f>面积位置!T46</f>
        <v>1593.36</v>
      </c>
      <c r="V2" s="3064">
        <f>ROUND(T2*U2/10000,0)</f>
        <v>3032</v>
      </c>
      <c r="W2" s="1133"/>
      <c r="X2" s="1133"/>
      <c r="Y2" s="1133"/>
      <c r="Z2" s="1133"/>
      <c r="AA2" s="1133"/>
      <c r="AB2" s="1133"/>
      <c r="AC2" s="1134"/>
      <c r="AD2" s="1135"/>
      <c r="AE2" s="1135"/>
      <c r="AF2" s="1135"/>
      <c r="AG2" s="1135"/>
      <c r="AH2" s="1135"/>
      <c r="AI2" s="1135"/>
      <c r="AJ2" s="1136"/>
    </row>
    <row r="3" spans="1:36" ht="15.75">
      <c r="A3" s="195" t="s">
        <v>1940</v>
      </c>
      <c r="B3" s="196">
        <f>ROUND(B2*10000/D1,0)</f>
        <v>68534</v>
      </c>
      <c r="C3" s="1846" t="s">
        <v>1941</v>
      </c>
      <c r="D3" s="162" t="s">
        <v>1942</v>
      </c>
      <c r="E3" s="3119" t="s">
        <v>2449</v>
      </c>
      <c r="F3" s="1848" t="s">
        <v>3435</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14999</v>
      </c>
      <c r="U3" s="1130">
        <f>面积位置!T47</f>
        <v>1373.2</v>
      </c>
      <c r="V3" s="3064">
        <f t="shared" ref="V3:V16" si="1">ROUND(T3*U3/10000,0)</f>
        <v>2060</v>
      </c>
      <c r="W3" s="1133"/>
      <c r="X3" s="1133"/>
      <c r="Y3" s="1133"/>
      <c r="Z3" s="1133"/>
      <c r="AA3" s="1133"/>
      <c r="AB3" s="1133"/>
      <c r="AC3" s="1134"/>
      <c r="AD3" s="1135"/>
      <c r="AE3" s="1135"/>
      <c r="AF3" s="1135"/>
      <c r="AG3" s="1135"/>
      <c r="AH3" s="1135"/>
      <c r="AI3" s="1135"/>
      <c r="AJ3" s="1136"/>
    </row>
    <row r="4" spans="1:36" ht="15.75">
      <c r="A4" s="3363"/>
      <c r="B4" s="3364"/>
      <c r="C4" s="3364"/>
      <c r="D4" s="3365"/>
      <c r="E4" s="3365"/>
      <c r="F4" s="3365"/>
      <c r="G4" s="3365"/>
      <c r="H4" s="3365"/>
      <c r="I4" s="3365"/>
      <c r="J4" s="3366"/>
      <c r="K4" s="1056"/>
      <c r="L4" s="1847" t="s">
        <v>1946</v>
      </c>
      <c r="M4" s="811">
        <f>SUMPRODUCT((区片价!B55:B86=I2)*(区片价!C3:G3=E2)*(区片价!C55:G86))</f>
        <v>21660</v>
      </c>
      <c r="N4" s="813">
        <f>SUMPRODUCT((因素修正幅度!B55:B86=I2)*(因素修正幅度!C3:G3=E2)*(因素修正幅度!C55:G86))</f>
        <v>0.05</v>
      </c>
      <c r="O4" s="1056"/>
      <c r="P4" s="1056"/>
      <c r="Q4" s="1056"/>
      <c r="R4" s="1129">
        <v>3</v>
      </c>
      <c r="S4" s="3064">
        <f>ROUND(SUMPRODUCT((B106:B110=R4)*(C105:N105=G2)*(C106:N110)),4)</f>
        <v>1.0004999999999999</v>
      </c>
      <c r="T4" s="3064">
        <f t="shared" si="0"/>
        <v>12676</v>
      </c>
      <c r="U4" s="1130">
        <f>面积位置!T48</f>
        <v>1373.2</v>
      </c>
      <c r="V4" s="3064">
        <f t="shared" si="1"/>
        <v>1741</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21660</v>
      </c>
      <c r="D5" s="1252">
        <f>ROUND(C6*C17+C20,0)</f>
        <v>21660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11180</v>
      </c>
      <c r="U5" s="1130">
        <f>面积位置!T49</f>
        <v>1373.2</v>
      </c>
      <c r="V5" s="3064">
        <f t="shared" si="1"/>
        <v>1535</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21660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10744</v>
      </c>
      <c r="U6" s="1130">
        <f>面积位置!T50+面积位置!T51</f>
        <v>1448.02</v>
      </c>
      <c r="V6" s="3064">
        <f t="shared" si="1"/>
        <v>1556</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2.5</v>
      </c>
      <c r="AA7" s="1133"/>
      <c r="AB7" s="1133"/>
      <c r="AC7" s="1134"/>
      <c r="AD7" s="1135"/>
      <c r="AE7" s="1135"/>
      <c r="AF7" s="1135"/>
      <c r="AG7" s="1135"/>
      <c r="AH7" s="1135"/>
      <c r="AI7" s="1135"/>
      <c r="AJ7" s="1136"/>
    </row>
    <row r="8" spans="1:36" ht="25.5">
      <c r="A8" s="3010"/>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0" t="s">
        <v>1960</v>
      </c>
      <c r="X8" s="33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2"/>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7" t="s">
        <v>3254</v>
      </c>
      <c r="B20" s="159" t="s">
        <v>1994</v>
      </c>
      <c r="C20" s="3032">
        <f>ROUND(IF(F21="与级别开发程度一致",0,(G21-E21)/C21),0)</f>
        <v>0</v>
      </c>
      <c r="D20" s="3047" t="s">
        <v>1998</v>
      </c>
      <c r="E20" s="3048"/>
      <c r="F20" s="3373" t="s">
        <v>1995</v>
      </c>
      <c r="G20" s="33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45862</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0.70089999999999997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18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3438</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1.0153000000000001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11162</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310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19029</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1"/>
      <c r="B37" s="1955" t="s">
        <v>2036</v>
      </c>
      <c r="C37" s="167">
        <f>ROUND(D5*C22*C23*C24*C28*F37,0)</f>
        <v>7602</v>
      </c>
      <c r="D37" s="1940">
        <f>'数据-汇总表'!G19</f>
        <v>1628.68</v>
      </c>
      <c r="E37" s="163">
        <f>ROUND(C37*D37/10000,0)</f>
        <v>1238</v>
      </c>
      <c r="F37" s="163">
        <f>SUMIF(修正!A59:A70,G2,修正!B59:B70)</f>
        <v>0.6</v>
      </c>
      <c r="G37" s="163">
        <f>ROUND(IF(E2="工业",C37*$M$42,C37*$M$41),0)</f>
        <v>1901</v>
      </c>
      <c r="H37" s="163">
        <f>D37</f>
        <v>1628.68</v>
      </c>
      <c r="I37" s="163">
        <f>ROUND(G37*H37/10000,0)</f>
        <v>310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2"/>
      <c r="B38" s="1884" t="s">
        <v>2037</v>
      </c>
      <c r="C38" s="167">
        <f>ROUND(D5*C22*C23*C24*C28*F38,0)</f>
        <v>3801</v>
      </c>
      <c r="D38" s="1940"/>
      <c r="E38" s="163">
        <f t="shared" ref="E38:E42" si="4">ROUND(C38*D38/10000,0)</f>
        <v>0</v>
      </c>
      <c r="F38" s="163">
        <f>SUMIF(修正!A59:A70,G2,修正!C59:C70)</f>
        <v>0.3</v>
      </c>
      <c r="G38" s="163">
        <f>ROUND(IF(E2="工业",C38*$M$42,C38*$M$41),0)</f>
        <v>950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2"/>
      <c r="B39" s="1884" t="s">
        <v>3259</v>
      </c>
      <c r="C39" s="167">
        <f>ROUND(D5*C22*C23*C24*C28*F39,0)</f>
        <v>3168</v>
      </c>
      <c r="D39" s="1940"/>
      <c r="E39" s="163">
        <f t="shared" si="4"/>
        <v>0</v>
      </c>
      <c r="F39" s="163">
        <f>SUMIF(修正!A59:A70,G2,修正!D59:D70)</f>
        <v>0.25</v>
      </c>
      <c r="G39" s="163">
        <f>ROUND(IF(E2="工业",C39*$M$42,C39*$M$41),0)</f>
        <v>792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3168</v>
      </c>
      <c r="D40" s="1940"/>
      <c r="E40" s="163">
        <f t="shared" si="4"/>
        <v>0</v>
      </c>
      <c r="F40" s="167">
        <f>SUMIF(修正!A59:A70,G2,修正!E59:E70)</f>
        <v>0.25</v>
      </c>
      <c r="G40" s="163">
        <f>ROUND(IF(E2="工业",C40*$M$42,C40*$M$41),0)</f>
        <v>792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1.0153000000000001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3439</v>
      </c>
      <c r="D50" s="1002">
        <f t="shared" ref="D50:D58" si="7">SUMIF($J$49:$N$49,C50,J50:N50)</f>
        <v>0</v>
      </c>
      <c r="E50" s="702">
        <f>ROUND(SUM(D50:D58),4)</f>
        <v>1.5299999999999999E-2</v>
      </c>
      <c r="F50" s="1675">
        <f>IF(E2="商业",SUMIF(L1:L12,G2,N1:N12),"——")</f>
        <v>0.05</v>
      </c>
      <c r="G50" s="1000">
        <f>H50</f>
        <v>7.4999999999999997E-3</v>
      </c>
      <c r="H50" s="1003">
        <f t="shared" ref="H50:H58" si="8">IFERROR(ROUNDDOWN($F$50*I50/2,4),"——")</f>
        <v>7.4999999999999997E-3</v>
      </c>
      <c r="I50" s="3069">
        <v>0.3</v>
      </c>
      <c r="J50" s="1001">
        <f t="shared" ref="J50:J58" si="9">K50+$G50</f>
        <v>1.4999999999999999E-2</v>
      </c>
      <c r="K50" s="1001">
        <f t="shared" ref="K50:K58" si="10">$L50+$G50</f>
        <v>7.4999999999999997E-3</v>
      </c>
      <c r="L50" s="1001">
        <v>0</v>
      </c>
      <c r="M50" s="1001">
        <f t="shared" ref="M50:N58" si="11">L50-$G50</f>
        <v>-7.4999999999999997E-3</v>
      </c>
      <c r="N50" s="1001">
        <f t="shared" si="11"/>
        <v>-1.4999999999999999E-2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3440</v>
      </c>
      <c r="D51" s="1002">
        <f t="shared" si="7"/>
        <v>5.4999999999999997E-3</v>
      </c>
      <c r="E51" s="703"/>
      <c r="F51" s="1675"/>
      <c r="G51" s="1000">
        <f t="shared" ref="G51:G58" si="12">H51</f>
        <v>5.4999999999999997E-3</v>
      </c>
      <c r="H51" s="1003">
        <f t="shared" si="8"/>
        <v>5.4999999999999997E-3</v>
      </c>
      <c r="I51" s="3069">
        <v>0.22</v>
      </c>
      <c r="J51" s="1001">
        <f t="shared" si="9"/>
        <v>1.0999999999999999E-2</v>
      </c>
      <c r="K51" s="1001">
        <f t="shared" si="10"/>
        <v>5.4999999999999997E-3</v>
      </c>
      <c r="L51" s="1001">
        <v>0</v>
      </c>
      <c r="M51" s="1001">
        <f t="shared" si="11"/>
        <v>-5.4999999999999997E-3</v>
      </c>
      <c r="N51" s="1001">
        <f t="shared" si="11"/>
        <v>-1.0999999999999999E-2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3440</v>
      </c>
      <c r="D52" s="1002">
        <f t="shared" si="7"/>
        <v>3.0000000000000001E-3</v>
      </c>
      <c r="E52" s="703"/>
      <c r="F52" s="1675"/>
      <c r="G52" s="1000">
        <f t="shared" si="12"/>
        <v>3.0000000000000001E-3</v>
      </c>
      <c r="H52" s="1003">
        <f t="shared" si="8"/>
        <v>3.0000000000000001E-3</v>
      </c>
      <c r="I52" s="3069">
        <v>0.12</v>
      </c>
      <c r="J52" s="1001">
        <f t="shared" si="9"/>
        <v>6.0000000000000001E-3</v>
      </c>
      <c r="K52" s="1001">
        <f t="shared" si="10"/>
        <v>3.0000000000000001E-3</v>
      </c>
      <c r="L52" s="1001">
        <v>0</v>
      </c>
      <c r="M52" s="1001">
        <f t="shared" si="11"/>
        <v>-3.0000000000000001E-3</v>
      </c>
      <c r="N52" s="1001">
        <f t="shared" si="11"/>
        <v>-6.0000000000000001E-3</v>
      </c>
      <c r="AA52" s="1057"/>
      <c r="AB52" s="1057"/>
      <c r="AC52" s="1057"/>
      <c r="AD52" s="1057"/>
      <c r="AE52" s="1057"/>
      <c r="AF52" s="1057"/>
      <c r="AG52" s="1057"/>
      <c r="AH52" s="1057"/>
      <c r="AI52" s="1057"/>
      <c r="AJ52" s="1057"/>
      <c r="AK52" s="1057"/>
    </row>
    <row r="53" spans="1:37" s="1056" customFormat="1" ht="36.75">
      <c r="A53" s="1970" t="s">
        <v>2054</v>
      </c>
      <c r="B53" s="1974" t="s">
        <v>2055</v>
      </c>
      <c r="C53" s="1887" t="s">
        <v>3440</v>
      </c>
      <c r="D53" s="1002">
        <f t="shared" si="7"/>
        <v>1.1999999999999999E-3</v>
      </c>
      <c r="E53" s="703"/>
      <c r="F53" s="1675"/>
      <c r="G53" s="1000">
        <f t="shared" si="12"/>
        <v>1.1999999999999999E-3</v>
      </c>
      <c r="H53" s="1003">
        <f t="shared" si="8"/>
        <v>1.1999999999999999E-3</v>
      </c>
      <c r="I53" s="3069">
        <v>0.05</v>
      </c>
      <c r="J53" s="1001">
        <f t="shared" si="9"/>
        <v>2.3999999999999998E-3</v>
      </c>
      <c r="K53" s="1001">
        <f t="shared" si="10"/>
        <v>1.1999999999999999E-3</v>
      </c>
      <c r="L53" s="1001">
        <v>0</v>
      </c>
      <c r="M53" s="1001">
        <f t="shared" si="11"/>
        <v>-1.1999999999999999E-3</v>
      </c>
      <c r="N53" s="1001">
        <f t="shared" si="11"/>
        <v>-2.3999999999999998E-3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3441</v>
      </c>
      <c r="D54" s="1002">
        <f t="shared" si="7"/>
        <v>-2E-3</v>
      </c>
      <c r="E54" s="703"/>
      <c r="F54" s="1675"/>
      <c r="G54" s="1000">
        <f t="shared" si="12"/>
        <v>2E-3</v>
      </c>
      <c r="H54" s="1003">
        <f t="shared" si="8"/>
        <v>2E-3</v>
      </c>
      <c r="I54" s="3069">
        <v>0.08</v>
      </c>
      <c r="J54" s="1001">
        <f t="shared" si="9"/>
        <v>4.0000000000000001E-3</v>
      </c>
      <c r="K54" s="1001">
        <f t="shared" si="10"/>
        <v>2E-3</v>
      </c>
      <c r="L54" s="1001">
        <v>0</v>
      </c>
      <c r="M54" s="1001">
        <f t="shared" si="11"/>
        <v>-2E-3</v>
      </c>
      <c r="N54" s="1001">
        <f t="shared" si="11"/>
        <v>-4.0000000000000001E-3</v>
      </c>
      <c r="AA54" s="1057"/>
      <c r="AB54" s="1057"/>
      <c r="AC54" s="1057"/>
      <c r="AD54" s="1057"/>
      <c r="AE54" s="1057"/>
      <c r="AF54" s="1057"/>
      <c r="AG54" s="1057"/>
      <c r="AH54" s="1057"/>
      <c r="AI54" s="1057"/>
      <c r="AJ54" s="1057"/>
      <c r="AK54" s="1057"/>
    </row>
    <row r="55" spans="1:37" s="1056" customFormat="1" ht="24">
      <c r="A55" s="1970" t="s">
        <v>2057</v>
      </c>
      <c r="B55" s="1975" t="s">
        <v>2058</v>
      </c>
      <c r="C55" s="1887" t="s">
        <v>3440</v>
      </c>
      <c r="D55" s="1002">
        <f t="shared" si="7"/>
        <v>1.1999999999999999E-3</v>
      </c>
      <c r="E55" s="703"/>
      <c r="F55" s="1675"/>
      <c r="G55" s="1000">
        <f t="shared" si="12"/>
        <v>1.1999999999999999E-3</v>
      </c>
      <c r="H55" s="1003">
        <f t="shared" si="8"/>
        <v>1.1999999999999999E-3</v>
      </c>
      <c r="I55" s="3069">
        <v>0.05</v>
      </c>
      <c r="J55" s="1001">
        <f t="shared" si="9"/>
        <v>2.3999999999999998E-3</v>
      </c>
      <c r="K55" s="1001">
        <f t="shared" si="10"/>
        <v>1.1999999999999999E-3</v>
      </c>
      <c r="L55" s="1001">
        <v>0</v>
      </c>
      <c r="M55" s="1001">
        <f t="shared" si="11"/>
        <v>-1.1999999999999999E-3</v>
      </c>
      <c r="N55" s="1001">
        <f t="shared" si="11"/>
        <v>-2.3999999999999998E-3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3440</v>
      </c>
      <c r="D56" s="1002">
        <f t="shared" si="7"/>
        <v>1.1999999999999999E-3</v>
      </c>
      <c r="E56" s="703"/>
      <c r="F56" s="1675"/>
      <c r="G56" s="1000">
        <f t="shared" si="12"/>
        <v>1.1999999999999999E-3</v>
      </c>
      <c r="H56" s="1003">
        <f t="shared" si="8"/>
        <v>1.1999999999999999E-3</v>
      </c>
      <c r="I56" s="3069">
        <v>0.05</v>
      </c>
      <c r="J56" s="1001">
        <f t="shared" si="9"/>
        <v>2.3999999999999998E-3</v>
      </c>
      <c r="K56" s="1001">
        <f t="shared" si="10"/>
        <v>1.1999999999999999E-3</v>
      </c>
      <c r="L56" s="1001">
        <v>0</v>
      </c>
      <c r="M56" s="1001">
        <f t="shared" si="11"/>
        <v>-1.1999999999999999E-3</v>
      </c>
      <c r="N56" s="1001">
        <f t="shared" si="11"/>
        <v>-2.3999999999999998E-3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3442</v>
      </c>
      <c r="D57" s="1002">
        <f t="shared" si="7"/>
        <v>4.0000000000000001E-3</v>
      </c>
      <c r="E57" s="703"/>
      <c r="F57" s="1675"/>
      <c r="G57" s="1000">
        <f t="shared" si="12"/>
        <v>2E-3</v>
      </c>
      <c r="H57" s="1003">
        <f t="shared" si="8"/>
        <v>2E-3</v>
      </c>
      <c r="I57" s="3069">
        <v>0.08</v>
      </c>
      <c r="J57" s="1001">
        <f t="shared" si="9"/>
        <v>4.0000000000000001E-3</v>
      </c>
      <c r="K57" s="1001">
        <f t="shared" si="10"/>
        <v>2E-3</v>
      </c>
      <c r="L57" s="1001">
        <v>0</v>
      </c>
      <c r="M57" s="1001">
        <f t="shared" si="11"/>
        <v>-2E-3</v>
      </c>
      <c r="N57" s="1001">
        <f t="shared" si="11"/>
        <v>-4.0000000000000001E-3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3440</v>
      </c>
      <c r="D58" s="1002">
        <f t="shared" si="7"/>
        <v>1.1999999999999999E-3</v>
      </c>
      <c r="E58" s="704"/>
      <c r="F58" s="1675"/>
      <c r="G58" s="1000">
        <f t="shared" si="12"/>
        <v>1.1999999999999999E-3</v>
      </c>
      <c r="H58" s="1003">
        <f t="shared" si="8"/>
        <v>1.1999999999999999E-3</v>
      </c>
      <c r="I58" s="3070">
        <v>0.05</v>
      </c>
      <c r="J58" s="1001">
        <f t="shared" si="9"/>
        <v>2.3999999999999998E-3</v>
      </c>
      <c r="K58" s="1001">
        <f t="shared" si="10"/>
        <v>1.1999999999999999E-3</v>
      </c>
      <c r="L58" s="1001">
        <v>0</v>
      </c>
      <c r="M58" s="1001">
        <f t="shared" si="11"/>
        <v>-1.1999999999999999E-3</v>
      </c>
      <c r="N58" s="1001">
        <f t="shared" si="11"/>
        <v>-2.3999999999999998E-3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3270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9" t="s">
        <v>3294</v>
      </c>
      <c r="B103" s="3369"/>
      <c r="C103" s="3369"/>
      <c r="D103" s="3369"/>
      <c r="E103" s="3369"/>
      <c r="F103" s="3369"/>
      <c r="G103" s="3369"/>
      <c r="H103" s="3369"/>
      <c r="I103" s="3369"/>
      <c r="J103" s="3369"/>
      <c r="K103" s="1667"/>
      <c r="L103" s="1667"/>
      <c r="M103" s="1667"/>
      <c r="N103" s="1667"/>
    </row>
    <row r="104" spans="1:14">
      <c r="A104" s="3370" t="s">
        <v>3295</v>
      </c>
      <c r="B104" s="3370" t="s">
        <v>3296</v>
      </c>
      <c r="C104" s="3091" t="s">
        <v>3297</v>
      </c>
      <c r="D104" s="3092"/>
      <c r="E104" s="3092"/>
      <c r="F104" s="3092"/>
      <c r="G104" s="3092"/>
      <c r="H104" s="3092"/>
      <c r="I104" s="3092"/>
      <c r="J104" s="3093"/>
      <c r="K104" s="3094"/>
      <c r="L104" s="3094"/>
      <c r="M104" s="3094"/>
      <c r="N104" s="3094"/>
    </row>
    <row r="105" spans="1:14">
      <c r="A105" s="3370"/>
      <c r="B105" s="3370"/>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56"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7"/>
      <c r="B111" s="3095" t="s">
        <v>3268</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58"/>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59" t="s">
        <v>3311</v>
      </c>
      <c r="B113" s="3359"/>
      <c r="C113" s="3359"/>
      <c r="D113" s="3359"/>
      <c r="E113" s="3359"/>
      <c r="F113" s="3359"/>
      <c r="G113" s="3359"/>
      <c r="H113" s="3359"/>
      <c r="I113" s="3359"/>
      <c r="J113" s="33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2.5</v>
      </c>
      <c r="C116" s="3100" t="s">
        <v>3313</v>
      </c>
      <c r="D116" s="3101">
        <f>SUMPRODUCT((A118:A122=F116)*(B117:M117=H116)*B118:M122)</f>
        <v>0.91400000000000003</v>
      </c>
      <c r="E116" s="162" t="s">
        <v>3314</v>
      </c>
      <c r="F116" s="3102" t="str">
        <f>E2</f>
        <v>商业</v>
      </c>
      <c r="G116" s="162" t="s">
        <v>3315</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3329</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3330</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3331</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Normal="100" workbookViewId="0">
      <selection activeCell="I22" sqref="I2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f ca="1">IF(D2="——",C40,C40+E2)</f>
        <v>9898</v>
      </c>
      <c r="C2" s="2596" t="s">
        <v>2316</v>
      </c>
      <c r="D2" s="3139" t="s">
        <v>3358</v>
      </c>
      <c r="E2" s="3140">
        <f ca="1">收益法!L46</f>
        <v>653</v>
      </c>
      <c r="F2" s="2598"/>
      <c r="G2" s="2599"/>
      <c r="H2" s="2600"/>
      <c r="I2" s="2601"/>
      <c r="J2" s="3375" t="s">
        <v>2317</v>
      </c>
      <c r="K2" s="3376"/>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f ca="1">ROUND(B2*10000/B4,0)</f>
        <v>11261</v>
      </c>
      <c r="C3" s="2596" t="s">
        <v>2326</v>
      </c>
      <c r="D3" s="2596"/>
      <c r="E3" s="2597"/>
      <c r="F3" s="2598"/>
      <c r="G3" s="2599"/>
      <c r="H3" s="2600"/>
      <c r="I3" s="2601"/>
      <c r="J3" s="3377" t="s">
        <v>2327</v>
      </c>
      <c r="K3" s="3378"/>
      <c r="L3" s="2608"/>
      <c r="M3" s="2608"/>
      <c r="N3" s="2608"/>
      <c r="O3" s="2608"/>
      <c r="P3" s="2608"/>
      <c r="Q3" s="2609"/>
      <c r="R3" s="2610">
        <f>SUM(L3:Q3)</f>
        <v>0</v>
      </c>
      <c r="S3" s="2593"/>
      <c r="T3" s="2593"/>
      <c r="U3" s="2593"/>
      <c r="V3" s="2601"/>
    </row>
    <row r="4" spans="1:22" s="2605" customFormat="1" ht="13.15" customHeight="1">
      <c r="A4" s="2611" t="s">
        <v>2328</v>
      </c>
      <c r="B4" s="2612">
        <f>'数据-汇总表'!E3</f>
        <v>8789.66</v>
      </c>
      <c r="C4" s="2596"/>
      <c r="D4" s="2596"/>
      <c r="E4" s="2597"/>
      <c r="F4" s="2598"/>
      <c r="G4" s="2599"/>
      <c r="H4" s="2600"/>
      <c r="I4" s="2601"/>
      <c r="J4" s="3377" t="s">
        <v>2329</v>
      </c>
      <c r="K4" s="3378"/>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1597</v>
      </c>
      <c r="S5" s="2593"/>
      <c r="T5" s="2593" t="s">
        <v>2332</v>
      </c>
      <c r="U5" s="2593" t="e">
        <f>ROUND(R5*10000/365/R3,1)</f>
        <v>#DIV/0!</v>
      </c>
      <c r="V5" s="2601"/>
    </row>
    <row r="6" spans="1:22" s="2605" customFormat="1" ht="13.15" customHeight="1" thickBot="1">
      <c r="A6" s="3379" t="s">
        <v>2333</v>
      </c>
      <c r="B6" s="3380"/>
      <c r="C6" s="3381"/>
      <c r="D6" s="2622">
        <f>R5</f>
        <v>1597</v>
      </c>
      <c r="E6" s="2623"/>
      <c r="F6" s="2624"/>
      <c r="G6" s="2625"/>
      <c r="H6" s="2600"/>
      <c r="I6" s="2601"/>
      <c r="J6" s="3382">
        <v>1</v>
      </c>
      <c r="K6" s="3383"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 ca="1">SUM(D9,D10,D11,D17,0)</f>
        <v>777</v>
      </c>
      <c r="E7" s="2632">
        <f ca="1">E9+E10+E11+E17</f>
        <v>0.48641202254226679</v>
      </c>
      <c r="F7" s="2633"/>
      <c r="G7" s="2634"/>
      <c r="H7" s="2600"/>
      <c r="I7" s="2601"/>
      <c r="J7" s="3382"/>
      <c r="K7" s="3384"/>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6" t="s">
        <v>2347</v>
      </c>
      <c r="C8" s="3387"/>
      <c r="D8" s="2641" t="s">
        <v>2348</v>
      </c>
      <c r="E8" s="2642" t="s">
        <v>2349</v>
      </c>
      <c r="F8" s="2643" t="s">
        <v>2350</v>
      </c>
      <c r="G8" s="2644"/>
      <c r="H8" s="2600"/>
      <c r="I8" s="2601"/>
      <c r="J8" s="3382"/>
      <c r="K8" s="3384"/>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6" t="s">
        <v>2353</v>
      </c>
      <c r="C9" s="3387"/>
      <c r="D9" s="2641">
        <f>ROUND(D6*E9,0)</f>
        <v>319</v>
      </c>
      <c r="E9" s="2645">
        <v>0.2</v>
      </c>
      <c r="F9" s="2646" t="s">
        <v>2354</v>
      </c>
      <c r="G9" s="2625"/>
      <c r="H9" s="2600"/>
      <c r="I9" s="2601"/>
      <c r="J9" s="3382"/>
      <c r="K9" s="3384"/>
      <c r="L9" s="2635" t="s">
        <v>2355</v>
      </c>
      <c r="M9" s="2636"/>
      <c r="N9" s="2612"/>
      <c r="O9" s="2637"/>
      <c r="P9" s="2637"/>
      <c r="Q9" s="2638">
        <v>365</v>
      </c>
      <c r="R9" s="2639">
        <f t="shared" si="0"/>
        <v>0</v>
      </c>
      <c r="S9" s="2593"/>
      <c r="T9" s="2593"/>
      <c r="U9" s="2593"/>
      <c r="V9" s="2601"/>
    </row>
    <row r="10" spans="1:22" s="2605" customFormat="1" ht="13.15" customHeight="1">
      <c r="A10" s="2640">
        <v>2</v>
      </c>
      <c r="B10" s="3386" t="s">
        <v>2356</v>
      </c>
      <c r="C10" s="3387"/>
      <c r="D10" s="2641">
        <f>ROUND(D6*E10,0)</f>
        <v>160</v>
      </c>
      <c r="E10" s="2645">
        <v>0.1</v>
      </c>
      <c r="F10" s="2646" t="s">
        <v>2357</v>
      </c>
      <c r="G10" s="2625"/>
      <c r="H10" s="2600"/>
      <c r="I10" s="2601"/>
      <c r="J10" s="3382"/>
      <c r="K10" s="3384"/>
      <c r="L10" s="2635" t="s">
        <v>2358</v>
      </c>
      <c r="M10" s="2636">
        <v>129</v>
      </c>
      <c r="N10" s="2612">
        <v>350</v>
      </c>
      <c r="O10" s="2637">
        <v>1</v>
      </c>
      <c r="P10" s="2637">
        <v>0.7</v>
      </c>
      <c r="Q10" s="2638">
        <v>365</v>
      </c>
      <c r="R10" s="2639">
        <f t="shared" si="0"/>
        <v>1154</v>
      </c>
      <c r="S10" s="2593"/>
      <c r="T10" s="2593"/>
      <c r="U10" s="2593"/>
      <c r="V10" s="2601"/>
    </row>
    <row r="11" spans="1:22" s="2605" customFormat="1" ht="13.15" customHeight="1">
      <c r="A11" s="2640">
        <v>3</v>
      </c>
      <c r="B11" s="3386" t="s">
        <v>2359</v>
      </c>
      <c r="C11" s="3387"/>
      <c r="D11" s="2641">
        <f ca="1">D12+D14+D15+D16</f>
        <v>138</v>
      </c>
      <c r="E11" s="2647">
        <f ca="1">D11/D6</f>
        <v>8.641202254226675E-2</v>
      </c>
      <c r="F11" s="2643"/>
      <c r="G11" s="2644"/>
      <c r="H11" s="2600"/>
      <c r="I11" s="2601"/>
      <c r="J11" s="3382"/>
      <c r="K11" s="3384"/>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88" t="s">
        <v>2362</v>
      </c>
      <c r="C12" s="3389"/>
      <c r="D12" s="2649">
        <f ca="1">ROUND(D13*1.2%*(1-30%),0)</f>
        <v>50</v>
      </c>
      <c r="E12" s="2650">
        <v>1.2E-2</v>
      </c>
      <c r="F12" s="2643" t="s">
        <v>2363</v>
      </c>
      <c r="G12" s="2644"/>
      <c r="H12" s="2600"/>
      <c r="I12" s="2601"/>
      <c r="J12" s="3382"/>
      <c r="K12" s="3384"/>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f ca="1">收益法!C29</f>
        <v>5997</v>
      </c>
      <c r="E13" s="2654"/>
      <c r="F13" s="2643"/>
      <c r="G13" s="2644"/>
      <c r="H13" s="2600"/>
      <c r="I13" s="2601"/>
      <c r="J13" s="3382"/>
      <c r="K13" s="3384"/>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88" t="s">
        <v>2368</v>
      </c>
      <c r="C14" s="3389"/>
      <c r="D14" s="2649">
        <f>ROUND(E14*B5/10000,0)</f>
        <v>0</v>
      </c>
      <c r="E14" s="2638">
        <v>0</v>
      </c>
      <c r="F14" s="2643" t="s">
        <v>2369</v>
      </c>
      <c r="G14" s="2644"/>
      <c r="H14" s="2600"/>
      <c r="I14" s="2601"/>
      <c r="J14" s="3382"/>
      <c r="K14" s="3385"/>
      <c r="L14" s="2655" t="s">
        <v>2370</v>
      </c>
      <c r="M14" s="2656">
        <f>SUM(M7:M13)</f>
        <v>129</v>
      </c>
      <c r="N14" s="2656">
        <f>ROUND((N7*M7+N8*M8+N9*M9+N10*M10+N11*M11+N12*M12+N13*M13)/M14,0)</f>
        <v>350</v>
      </c>
      <c r="O14" s="2657"/>
      <c r="P14" s="2657"/>
      <c r="Q14" s="2658"/>
      <c r="R14" s="2604">
        <f>SUM(R7:R13)</f>
        <v>1154</v>
      </c>
      <c r="S14" s="2593"/>
      <c r="T14" s="2593"/>
      <c r="U14" s="2593"/>
      <c r="V14" s="2601"/>
    </row>
    <row r="15" spans="1:22" s="2605" customFormat="1" ht="13.15" customHeight="1">
      <c r="A15" s="2648" t="s">
        <v>2371</v>
      </c>
      <c r="B15" s="3388" t="s">
        <v>2372</v>
      </c>
      <c r="C15" s="3389"/>
      <c r="D15" s="2649">
        <f>ROUND(D6*E15,0)</f>
        <v>88</v>
      </c>
      <c r="E15" s="2650">
        <v>5.5E-2</v>
      </c>
      <c r="F15" s="2643" t="s">
        <v>2373</v>
      </c>
      <c r="G15" s="2625"/>
      <c r="H15" s="2600"/>
      <c r="I15" s="2601"/>
      <c r="J15" s="3382">
        <v>2</v>
      </c>
      <c r="K15" s="3383"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88" t="s">
        <v>2381</v>
      </c>
      <c r="C16" s="3389"/>
      <c r="D16" s="2660">
        <f>D6*E16</f>
        <v>0</v>
      </c>
      <c r="E16" s="2661"/>
      <c r="F16" s="2646" t="s">
        <v>2382</v>
      </c>
      <c r="G16" s="2625"/>
      <c r="H16" s="2600"/>
      <c r="I16" s="2601"/>
      <c r="J16" s="3382"/>
      <c r="K16" s="3384"/>
      <c r="L16" s="2635" t="s">
        <v>2383</v>
      </c>
      <c r="M16" s="2636">
        <v>38</v>
      </c>
      <c r="N16" s="2636">
        <v>40</v>
      </c>
      <c r="O16" s="2637">
        <v>0.3</v>
      </c>
      <c r="P16" s="2638">
        <v>365</v>
      </c>
      <c r="Q16" s="2612"/>
      <c r="R16" s="2659">
        <f>ROUND(M16*N16*O16*P16/10000,0)</f>
        <v>17</v>
      </c>
      <c r="S16" s="2593"/>
      <c r="T16" s="2593"/>
      <c r="U16" s="2593"/>
      <c r="V16" s="2601"/>
    </row>
    <row r="17" spans="1:22" s="2605" customFormat="1" ht="13.15" customHeight="1" thickBot="1">
      <c r="A17" s="2662">
        <v>4</v>
      </c>
      <c r="B17" s="3390" t="s">
        <v>2384</v>
      </c>
      <c r="C17" s="3391"/>
      <c r="D17" s="2663">
        <f>ROUND(D6*E17,0)</f>
        <v>160</v>
      </c>
      <c r="E17" s="2664">
        <v>0.1</v>
      </c>
      <c r="F17" s="2665" t="s">
        <v>2385</v>
      </c>
      <c r="G17" s="2625"/>
      <c r="H17" s="2600"/>
      <c r="I17" s="2601"/>
      <c r="J17" s="3382"/>
      <c r="K17" s="3384"/>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80</v>
      </c>
      <c r="E18" s="2667">
        <v>0.05</v>
      </c>
      <c r="F18" s="2668" t="s">
        <v>2388</v>
      </c>
      <c r="G18" s="2625"/>
      <c r="H18" s="2600"/>
      <c r="I18" s="2601"/>
      <c r="J18" s="3382"/>
      <c r="K18" s="3384"/>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82"/>
      <c r="K19" s="3385"/>
      <c r="L19" s="2655" t="s">
        <v>2370</v>
      </c>
      <c r="M19" s="2656"/>
      <c r="N19" s="2656">
        <f>SUM(N16:N18)</f>
        <v>40</v>
      </c>
      <c r="O19" s="2657"/>
      <c r="P19" s="2670" t="s">
        <v>2434</v>
      </c>
      <c r="Q19" s="2637"/>
      <c r="R19" s="2671">
        <f>ROUND(IF(P19="按比例",R14*Q19,SUM(R16:R18)),0)</f>
        <v>17</v>
      </c>
      <c r="S19" s="2593"/>
      <c r="T19" s="2593"/>
      <c r="U19" s="2593"/>
      <c r="V19" s="2601"/>
    </row>
    <row r="20" spans="1:22" s="2605" customFormat="1" ht="13.15" customHeight="1">
      <c r="A20" s="2628"/>
      <c r="B20" s="2629"/>
      <c r="C20" s="2629"/>
      <c r="D20" s="2629"/>
      <c r="E20" s="2629"/>
      <c r="F20" s="2672"/>
      <c r="G20" s="2644"/>
      <c r="H20" s="2600"/>
      <c r="I20" s="2601"/>
      <c r="J20" s="3382">
        <v>3</v>
      </c>
      <c r="K20" s="3383"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82"/>
      <c r="K21" s="3384"/>
      <c r="L21" s="2635" t="s">
        <v>2402</v>
      </c>
      <c r="M21" s="2636">
        <v>1</v>
      </c>
      <c r="N21" s="2636">
        <v>1500</v>
      </c>
      <c r="O21" s="2637">
        <v>0.15</v>
      </c>
      <c r="P21" s="2638">
        <v>365</v>
      </c>
      <c r="Q21" s="2612"/>
      <c r="R21" s="2677">
        <f>ROUND(M21*N21*O21*P21/10000,0)</f>
        <v>8</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82"/>
      <c r="K22" s="3384"/>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1597</v>
      </c>
      <c r="D23" s="2684">
        <f>C23*(1+D24)</f>
        <v>1597</v>
      </c>
      <c r="E23" s="2685">
        <f>D23*(1+E24)</f>
        <v>1597</v>
      </c>
      <c r="F23" s="2686"/>
      <c r="G23" s="2687"/>
      <c r="H23" s="2600"/>
      <c r="I23" s="2601"/>
      <c r="J23" s="3382"/>
      <c r="K23" s="3384"/>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82"/>
      <c r="K24" s="3385"/>
      <c r="L24" s="2655" t="s">
        <v>2370</v>
      </c>
      <c r="M24" s="2656">
        <f>SUM(M21:M23)</f>
        <v>1</v>
      </c>
      <c r="N24" s="2656"/>
      <c r="O24" s="2657"/>
      <c r="P24" s="2670" t="s">
        <v>2434</v>
      </c>
      <c r="Q24" s="2637">
        <v>0</v>
      </c>
      <c r="R24" s="2671">
        <f>ROUND(IF(P24="按比例",R14*Q24,SUM(R21:R23)),0)</f>
        <v>8</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 ca="1">D7</f>
        <v>777</v>
      </c>
      <c r="D26" s="2684">
        <f>D23*D27</f>
        <v>0</v>
      </c>
      <c r="E26" s="2685">
        <f>E23*E27</f>
        <v>0</v>
      </c>
      <c r="F26" s="2686"/>
      <c r="G26" s="2687"/>
      <c r="H26" s="2600"/>
      <c r="I26" s="2601"/>
      <c r="J26" s="339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f ca="1">E7</f>
        <v>0.48641202254226679</v>
      </c>
      <c r="D27" s="2691"/>
      <c r="E27" s="2692"/>
      <c r="F27" s="2693"/>
      <c r="G27" s="2687"/>
      <c r="H27" s="2707"/>
      <c r="I27" s="2699"/>
      <c r="J27" s="3393"/>
      <c r="K27" s="2708"/>
      <c r="L27" s="2709"/>
      <c r="M27" s="2710"/>
      <c r="N27" s="2711"/>
      <c r="O27" s="2711"/>
      <c r="P27" s="2711"/>
      <c r="Q27" s="2712"/>
      <c r="R27" s="2671">
        <f>ROUND(物业台账明细!J22/10000,0)</f>
        <v>418</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79.850000000000009</v>
      </c>
      <c r="D29" s="2684">
        <f>D23*C30</f>
        <v>79.850000000000009</v>
      </c>
      <c r="E29" s="2685">
        <f>E23*C30</f>
        <v>79.850000000000009</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 ca="1">C23-C26-C29</f>
        <v>740.15</v>
      </c>
      <c r="D32" s="2684">
        <f>D23-D26-D29</f>
        <v>1517.15</v>
      </c>
      <c r="E32" s="2685">
        <f>E23-E26-E29</f>
        <v>1517.15</v>
      </c>
      <c r="F32" s="2686"/>
      <c r="G32" s="2593"/>
      <c r="H32" s="2600"/>
      <c r="I32" s="2601"/>
      <c r="J32" s="3375" t="s">
        <v>2317</v>
      </c>
      <c r="K32" s="3376"/>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7" t="s">
        <v>2327</v>
      </c>
      <c r="K33" s="3378"/>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v>0.06</v>
      </c>
      <c r="D34" s="2727">
        <v>0.06</v>
      </c>
      <c r="E34" s="2728">
        <v>0.06</v>
      </c>
      <c r="F34" s="2686"/>
      <c r="G34" s="2593"/>
      <c r="H34" s="2707"/>
      <c r="I34" s="2699"/>
      <c r="J34" s="3377" t="s">
        <v>2329</v>
      </c>
      <c r="K34" s="33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v>0.02</v>
      </c>
      <c r="D35" s="2731">
        <v>0</v>
      </c>
      <c r="E35" s="2732">
        <v>0</v>
      </c>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f>项目基本情况!D15</f>
        <v>18</v>
      </c>
      <c r="D36" s="2737">
        <v>0</v>
      </c>
      <c r="E36" s="2738">
        <v>0</v>
      </c>
      <c r="F36" s="2739">
        <f>C36+D36+E36</f>
        <v>18</v>
      </c>
      <c r="G36" s="2593"/>
      <c r="H36" s="2600"/>
      <c r="I36" s="2601"/>
      <c r="J36" s="3382">
        <v>1</v>
      </c>
      <c r="K36" s="3383"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82"/>
      <c r="K37" s="3384"/>
      <c r="L37" s="2635"/>
      <c r="M37" s="2636"/>
      <c r="N37" s="2612"/>
      <c r="O37" s="2637"/>
      <c r="P37" s="2637"/>
      <c r="Q37" s="2638"/>
      <c r="R37" s="2639"/>
      <c r="S37" s="2593"/>
      <c r="T37" s="2593" t="s">
        <v>2345</v>
      </c>
      <c r="U37" s="2593"/>
      <c r="V37" s="2601"/>
    </row>
    <row r="38" spans="1:23" s="2605" customFormat="1" ht="13.15" customHeight="1">
      <c r="A38" s="2681">
        <v>8</v>
      </c>
      <c r="B38" s="2682"/>
      <c r="C38" s="2641">
        <f ca="1">ROUND(C32*(1-((1+C35)/(1+C34))^C36)/(C34-C35),0)</f>
        <v>9245</v>
      </c>
      <c r="D38" s="2641">
        <f>IF(D23=0,0,ROUND(D32*(1-((1+D35)/(1+D34))^D36)/(D34-D35),0))</f>
        <v>0</v>
      </c>
      <c r="E38" s="2641">
        <f>IF(E23=0,0,ROUND(E32*(1-((1+E35)/(1+E34))^E36)/(E34-E35),0))</f>
        <v>0</v>
      </c>
      <c r="F38" s="2686"/>
      <c r="G38" s="2593"/>
      <c r="H38" s="2600"/>
      <c r="I38" s="2601"/>
      <c r="J38" s="3382"/>
      <c r="K38" s="3384"/>
      <c r="L38" s="2635"/>
      <c r="M38" s="2636"/>
      <c r="N38" s="2612"/>
      <c r="O38" s="2637"/>
      <c r="P38" s="2637"/>
      <c r="Q38" s="2638"/>
      <c r="R38" s="2639"/>
      <c r="S38" s="2593"/>
      <c r="T38" s="2593" t="s">
        <v>2352</v>
      </c>
      <c r="U38" s="2593"/>
      <c r="V38" s="2601"/>
    </row>
    <row r="39" spans="1:23" s="2605" customFormat="1" ht="13.15" customHeight="1">
      <c r="A39" s="2681">
        <v>9</v>
      </c>
      <c r="B39" s="2682" t="s">
        <v>2430</v>
      </c>
      <c r="C39" s="2649">
        <f ca="1">C38</f>
        <v>9245</v>
      </c>
      <c r="D39" s="2682">
        <f>D38/(1+D34)^C36</f>
        <v>0</v>
      </c>
      <c r="E39" s="2682">
        <f>E38/(1+E34)^(C36+D36)</f>
        <v>0</v>
      </c>
      <c r="F39" s="2686"/>
      <c r="G39" s="2601"/>
      <c r="H39" s="2600"/>
      <c r="I39" s="2601"/>
      <c r="J39" s="3382"/>
      <c r="K39" s="3384"/>
      <c r="L39" s="2635"/>
      <c r="M39" s="2636"/>
      <c r="N39" s="2612"/>
      <c r="O39" s="2637"/>
      <c r="P39" s="2637"/>
      <c r="Q39" s="2638"/>
      <c r="R39" s="2639"/>
      <c r="S39" s="2593"/>
      <c r="T39" s="2593"/>
      <c r="U39" s="2593"/>
      <c r="V39" s="2601"/>
    </row>
    <row r="40" spans="1:23" s="2605" customFormat="1" ht="13.15" customHeight="1">
      <c r="A40" s="2740">
        <v>10</v>
      </c>
      <c r="B40" s="2682" t="s">
        <v>2431</v>
      </c>
      <c r="C40" s="2741">
        <f ca="1">C39+D39+E39</f>
        <v>9245</v>
      </c>
      <c r="D40" s="2742"/>
      <c r="E40" s="2742"/>
      <c r="F40" s="2743"/>
      <c r="G40" s="2593"/>
      <c r="H40" s="2600"/>
      <c r="I40" s="2601"/>
      <c r="J40" s="3382"/>
      <c r="K40" s="3385"/>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f ca="1">ROUND(C40*10000/B4,0)</f>
        <v>10518</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L14" sqref="L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3422</v>
      </c>
      <c r="D1" s="1271" t="s">
        <v>43</v>
      </c>
      <c r="E1" s="1272" t="s">
        <v>678</v>
      </c>
      <c r="F1" s="999">
        <f ca="1">J53</f>
        <v>18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10446</v>
      </c>
      <c r="C2" s="1289" t="s">
        <v>805</v>
      </c>
      <c r="D2" s="1289"/>
      <c r="E2" s="1295"/>
      <c r="F2" s="1296"/>
      <c r="G2" s="2479"/>
      <c r="H2" s="2469"/>
      <c r="I2" s="2469"/>
      <c r="J2" s="2469"/>
      <c r="K2" s="2470"/>
      <c r="L2" s="2469"/>
      <c r="M2" s="2469"/>
    </row>
    <row r="3" spans="1:37" ht="18" customHeight="1" thickBot="1">
      <c r="A3" s="1297" t="s">
        <v>806</v>
      </c>
      <c r="B3" s="1298">
        <f ca="1">IF(ISERROR(B2*10000/F43),0,ROUND(B2*10000/F43,0))</f>
        <v>11884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974</v>
      </c>
      <c r="D5" s="1273" t="s">
        <v>693</v>
      </c>
      <c r="E5" s="1008"/>
      <c r="F5" s="1009"/>
      <c r="G5" s="1292"/>
      <c r="H5" s="291">
        <v>1</v>
      </c>
      <c r="I5" s="292" t="s">
        <v>692</v>
      </c>
      <c r="J5" s="1007">
        <f ca="1">J6+J10+J12</f>
        <v>0</v>
      </c>
      <c r="K5" s="1273" t="s">
        <v>693</v>
      </c>
      <c r="L5" s="1008"/>
      <c r="M5" s="1009"/>
    </row>
    <row r="6" spans="1:37" ht="18" customHeight="1">
      <c r="A6" s="1006" t="s">
        <v>398</v>
      </c>
      <c r="B6" s="3396" t="s">
        <v>694</v>
      </c>
      <c r="C6" s="1011">
        <f ca="1">ROUND(F6*F8*F7*(1-F9)/10000,0)</f>
        <v>973</v>
      </c>
      <c r="D6" s="147" t="s">
        <v>2109</v>
      </c>
      <c r="E6" s="294" t="s">
        <v>696</v>
      </c>
      <c r="F6" s="295">
        <f ca="1">INDIRECT("'数据-取费表'!u"&amp;$G$1)</f>
        <v>3.37</v>
      </c>
      <c r="G6" s="1292"/>
      <c r="H6" s="1006" t="s">
        <v>398</v>
      </c>
      <c r="I6" s="3396" t="s">
        <v>694</v>
      </c>
      <c r="J6" s="293">
        <f ca="1">ROUND(M6*M8*M7*(1-M9)/10000,0)</f>
        <v>0</v>
      </c>
      <c r="K6" s="147" t="s">
        <v>2108</v>
      </c>
      <c r="L6" s="294" t="s">
        <v>696</v>
      </c>
      <c r="M6" s="295">
        <f ca="1">INDIRECT("'数据-取费表'!z"&amp;$G$1)</f>
        <v>0</v>
      </c>
    </row>
    <row r="7" spans="1:37" ht="18" customHeight="1">
      <c r="A7" s="1010"/>
      <c r="B7" s="3397"/>
      <c r="C7" s="1012"/>
      <c r="D7" s="299"/>
      <c r="E7" s="1013" t="s">
        <v>697</v>
      </c>
      <c r="F7" s="295">
        <f ca="1">IF(INDIRECT("'数据-取费表'!ah"&amp;$G$1)="",INDIRECT("'数据-取费表'!k"&amp;$G$1),INDIRECT("'数据-取费表'!ah"&amp;$G$1))</f>
        <v>8789.66</v>
      </c>
      <c r="G7" s="1292"/>
      <c r="H7" s="296"/>
      <c r="I7" s="3397"/>
      <c r="J7" s="298"/>
      <c r="K7" s="299"/>
      <c r="L7" s="294" t="s">
        <v>697</v>
      </c>
      <c r="M7" s="295">
        <f ca="1">F7</f>
        <v>8789.66</v>
      </c>
    </row>
    <row r="8" spans="1:37" ht="18" customHeight="1">
      <c r="A8" s="296"/>
      <c r="B8" s="3397"/>
      <c r="C8" s="298"/>
      <c r="D8" s="299"/>
      <c r="E8" s="294" t="s">
        <v>698</v>
      </c>
      <c r="F8" s="295">
        <f ca="1">INDIRECT("'数据-取费表'!ai"&amp;$G$1)</f>
        <v>365</v>
      </c>
      <c r="G8" s="1292"/>
      <c r="H8" s="296"/>
      <c r="I8" s="3397"/>
      <c r="J8" s="298"/>
      <c r="K8" s="299"/>
      <c r="L8" s="294" t="s">
        <v>698</v>
      </c>
      <c r="M8" s="295">
        <f ca="1">INDIRECT("'数据-取费表'!ai"&amp;$G$1)</f>
        <v>365</v>
      </c>
    </row>
    <row r="9" spans="1:37" ht="18" customHeight="1">
      <c r="A9" s="296"/>
      <c r="B9" s="3398"/>
      <c r="C9" s="298"/>
      <c r="D9" s="299"/>
      <c r="E9" s="294" t="s">
        <v>699</v>
      </c>
      <c r="F9" s="304">
        <f ca="1">INDIRECT("'数据-取费表'!w"&amp;$G$1)</f>
        <v>0.1</v>
      </c>
      <c r="G9" s="1292"/>
      <c r="H9" s="296"/>
      <c r="I9" s="3398"/>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3432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4678</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3955</v>
      </c>
      <c r="D14" s="1257" t="s">
        <v>708</v>
      </c>
      <c r="E14" s="1255"/>
      <c r="F14" s="311"/>
      <c r="G14" s="1292"/>
      <c r="H14" s="928" t="s">
        <v>398</v>
      </c>
      <c r="I14" s="294" t="s">
        <v>709</v>
      </c>
      <c r="J14" s="21">
        <f ca="1">C29</f>
        <v>5997</v>
      </c>
      <c r="K14" s="12"/>
      <c r="L14" s="759"/>
      <c r="M14" s="760"/>
    </row>
    <row r="15" spans="1:37" s="1304" customFormat="1" ht="18" customHeight="1" thickBot="1">
      <c r="A15" s="928" t="s">
        <v>399</v>
      </c>
      <c r="B15" s="294" t="s">
        <v>710</v>
      </c>
      <c r="C15" s="21">
        <f ca="1">ROUND(C14*F15,0)</f>
        <v>198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v>
      </c>
      <c r="K16" s="1024" t="s">
        <v>715</v>
      </c>
      <c r="L16" s="1025"/>
      <c r="M16" s="1009"/>
    </row>
    <row r="17" spans="1:37" s="1304" customFormat="1" ht="18" customHeight="1">
      <c r="A17" s="928" t="s">
        <v>681</v>
      </c>
      <c r="B17" s="294" t="s">
        <v>716</v>
      </c>
      <c r="C17" s="21">
        <f ca="1">ROUND(F17*(F43+INDIRECT("'数据-取费表'!S"&amp;$G$1))/10000,0)</f>
        <v>176</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4408</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88</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11.99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v>
      </c>
      <c r="K25" s="1032" t="s">
        <v>753</v>
      </c>
      <c r="L25" s="1033"/>
      <c r="M25" s="1034"/>
    </row>
    <row r="26" spans="1:37">
      <c r="A26" s="928" t="s">
        <v>397</v>
      </c>
      <c r="B26" s="294" t="s">
        <v>754</v>
      </c>
      <c r="C26" s="21">
        <f ca="1">ROUND((C19+C20)*F26,0)</f>
        <v>899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5997</v>
      </c>
      <c r="D29" s="1029"/>
      <c r="E29" s="1027"/>
      <c r="F29" s="1030"/>
      <c r="G29" s="1303"/>
      <c r="H29" s="325" t="s">
        <v>396</v>
      </c>
      <c r="I29" s="326" t="s">
        <v>768</v>
      </c>
      <c r="J29" s="327">
        <f ca="1">ROUND(J26/(1+F40)^F41,0)</f>
        <v>0</v>
      </c>
      <c r="K29" s="328" t="s">
        <v>769</v>
      </c>
      <c r="L29" s="329"/>
      <c r="M29" s="330">
        <f ca="1">INDIRECT("'数据-取费表'!k"&amp;$G$1)</f>
        <v>8789.66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163.09</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51.89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111.2</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11.99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4.68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9.74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784</v>
      </c>
      <c r="D39" s="1032" t="s">
        <v>773</v>
      </c>
      <c r="E39" s="1033"/>
      <c r="F39" s="1034"/>
      <c r="G39" s="1292"/>
      <c r="H39" s="2474"/>
      <c r="I39" s="1305"/>
      <c r="J39" s="1306"/>
      <c r="K39" s="2472"/>
      <c r="L39" s="2474"/>
      <c r="M39" s="2474"/>
    </row>
    <row r="40" spans="1:18" ht="18" customHeight="1">
      <c r="A40" s="291" t="s">
        <v>395</v>
      </c>
      <c r="B40" s="292" t="s">
        <v>774</v>
      </c>
      <c r="C40" s="293">
        <f ca="1">ROUND(C39*(1-((1+F42)/(1+F40))^F41)/(F40-F42),0)</f>
        <v>9793</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11142</v>
      </c>
      <c r="D43" s="328" t="s">
        <v>777</v>
      </c>
      <c r="E43" s="329" t="s">
        <v>778</v>
      </c>
      <c r="F43" s="330">
        <f ca="1">INDIRECT("'数据-取费表'!k"&amp;$G$1)</f>
        <v>8789.66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-9977</v>
      </c>
      <c r="D46" s="1313" t="str">
        <f>C2</f>
        <v>万元</v>
      </c>
      <c r="E46" s="1307"/>
      <c r="F46" s="1307"/>
      <c r="I46" s="1314" t="s">
        <v>810</v>
      </c>
      <c r="J46" s="1315"/>
      <c r="K46" s="1316"/>
      <c r="L46" s="1317">
        <f ca="1">IF(M47="住宅",0,IF(L48&gt;J51,L60,J60))</f>
        <v>653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3433</v>
      </c>
      <c r="K47" s="1323" t="s">
        <v>816</v>
      </c>
      <c r="L47" s="1324">
        <f ca="1">INDIRECT("'数据-取费表'!d"&amp;$G$1)</f>
        <v>40</v>
      </c>
      <c r="M47" s="1288" t="str">
        <f>IF(ISNUMBER(FIND("住宅",C1)),"住宅","非住宅")</f>
        <v>非住宅</v>
      </c>
      <c r="O47" s="1325" t="s">
        <v>403</v>
      </c>
      <c r="P47" s="1326" t="s">
        <v>817</v>
      </c>
      <c r="Q47" s="1327">
        <f ca="1">C40+J29</f>
        <v>9793</v>
      </c>
      <c r="R47" s="1327" t="s">
        <v>818</v>
      </c>
    </row>
    <row r="48" spans="1:18" s="1292" customFormat="1" ht="28.5" thickBot="1">
      <c r="A48" s="1047" t="s">
        <v>438</v>
      </c>
      <c r="B48" s="292" t="s">
        <v>692</v>
      </c>
      <c r="C48" s="1268">
        <f ca="1">C49+C53+C55</f>
        <v>0</v>
      </c>
      <c r="D48" s="1049"/>
      <c r="E48" s="1050"/>
      <c r="F48" s="908"/>
      <c r="G48" s="681"/>
      <c r="H48" s="682"/>
      <c r="I48" s="1328" t="s">
        <v>819</v>
      </c>
      <c r="J48" s="1329" t="s">
        <v>3434</v>
      </c>
      <c r="K48" s="1330" t="s">
        <v>820</v>
      </c>
      <c r="L48" s="1331">
        <f ca="1">INDIRECT("'数据-取费表'!f"&amp;$G$1)</f>
        <v>18</v>
      </c>
      <c r="O48" s="1325" t="s">
        <v>404</v>
      </c>
      <c r="P48" s="1326" t="s">
        <v>821</v>
      </c>
      <c r="Q48" s="1327">
        <f ca="1">J60</f>
        <v>653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2005</v>
      </c>
      <c r="K49" s="1330" t="s">
        <v>824</v>
      </c>
      <c r="L49" s="1333"/>
      <c r="O49" s="1334" t="s">
        <v>405</v>
      </c>
      <c r="P49" s="1326" t="s">
        <v>825</v>
      </c>
      <c r="Q49" s="1327">
        <f ca="1">C29</f>
        <v>5997</v>
      </c>
      <c r="R49" s="1327" t="s">
        <v>818</v>
      </c>
    </row>
    <row r="50" spans="1:18" s="1292" customFormat="1" ht="13.5" thickBot="1">
      <c r="A50" s="922"/>
      <c r="B50" s="925"/>
      <c r="C50" s="1055"/>
      <c r="D50" s="899"/>
      <c r="E50" s="993" t="s">
        <v>697</v>
      </c>
      <c r="F50" s="994">
        <f ca="1">F7</f>
        <v>8789.66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7326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v>
      </c>
      <c r="K53" s="3394" t="s">
        <v>837</v>
      </c>
      <c r="L53" s="3395"/>
      <c r="O53" s="1325" t="s">
        <v>409</v>
      </c>
      <c r="P53" s="1326" t="s">
        <v>838</v>
      </c>
      <c r="Q53" s="1327">
        <f ca="1">Q47+Q48</f>
        <v>10446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4678</v>
      </c>
      <c r="D56" s="1352"/>
      <c r="E56" s="1353"/>
      <c r="F56" s="1345"/>
      <c r="I56" s="1354" t="s">
        <v>842</v>
      </c>
      <c r="J56" s="1355" t="s">
        <v>3595</v>
      </c>
      <c r="K56" s="1328" t="s">
        <v>843</v>
      </c>
      <c r="L56" s="1331" t="str">
        <f ca="1">IF(L48&lt;J51,"——",L48-J53)</f>
        <v>——</v>
      </c>
      <c r="O56" s="1325" t="s">
        <v>403</v>
      </c>
      <c r="P56" s="1326" t="s">
        <v>817</v>
      </c>
      <c r="Q56" s="1327">
        <f ca="1">C40+J29</f>
        <v>9793</v>
      </c>
      <c r="R56" s="1327" t="s">
        <v>818</v>
      </c>
    </row>
    <row r="57" spans="1:18" s="1292" customFormat="1" ht="24.75" thickBot="1">
      <c r="A57" s="1356"/>
      <c r="B57" s="896" t="s">
        <v>767</v>
      </c>
      <c r="C57" s="230">
        <f ca="1">C29</f>
        <v>5997</v>
      </c>
      <c r="D57" s="1357"/>
      <c r="E57" s="1358"/>
      <c r="F57" s="1359"/>
      <c r="I57" s="1360" t="s">
        <v>844</v>
      </c>
      <c r="J57" s="1361">
        <f ca="1">IF(OR(M47="住宅",J51&lt;L48,J56="是"),"——",J51-L48)</f>
        <v>22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2399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653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9793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11.99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4.68</v>
      </c>
      <c r="D65" s="910" t="s">
        <v>743</v>
      </c>
      <c r="E65" s="896" t="s">
        <v>744</v>
      </c>
      <c r="F65" s="321">
        <f t="shared" ca="1" si="0"/>
        <v>1E-3</v>
      </c>
      <c r="I65" s="1367" t="s">
        <v>867</v>
      </c>
      <c r="J65" s="610">
        <v>40</v>
      </c>
      <c r="K65" s="610">
        <v>30</v>
      </c>
      <c r="L65" s="610">
        <v>50</v>
      </c>
      <c r="M65" s="1369">
        <v>0.02</v>
      </c>
      <c r="O65" s="1325" t="s">
        <v>403</v>
      </c>
      <c r="P65" s="1326" t="s">
        <v>868</v>
      </c>
      <c r="Q65" s="1327">
        <f ca="1">C40+J29</f>
        <v>9793</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-17</v>
      </c>
      <c r="D67" s="909" t="s">
        <v>753</v>
      </c>
      <c r="E67" s="914"/>
      <c r="F67" s="915"/>
      <c r="O67" s="1334" t="s">
        <v>405</v>
      </c>
      <c r="P67" s="1326" t="s">
        <v>850</v>
      </c>
      <c r="Q67" s="1370">
        <f ca="1">L51</f>
        <v>7326</v>
      </c>
      <c r="R67" s="1327" t="s">
        <v>870</v>
      </c>
    </row>
    <row r="68" spans="1:18" s="1292" customFormat="1" ht="16.5" thickBot="1">
      <c r="A68" s="893" t="s">
        <v>395</v>
      </c>
      <c r="B68" s="894" t="s">
        <v>774</v>
      </c>
      <c r="C68" s="293">
        <f ca="1">ROUND(C67*(1-((1+F70)/(1+F68))^F69)/(F68-F70),0)</f>
        <v>-184</v>
      </c>
      <c r="D68" s="911" t="s">
        <v>758</v>
      </c>
      <c r="E68" s="896" t="s">
        <v>759</v>
      </c>
      <c r="F68" s="304">
        <f ca="1">F40</f>
        <v>0.06</v>
      </c>
      <c r="O68" s="1334" t="s">
        <v>406</v>
      </c>
      <c r="P68" s="1371" t="s">
        <v>871</v>
      </c>
      <c r="Q68" s="1327">
        <f ca="1">ROUND(Q69-Q70*Q71,0)</f>
        <v>457</v>
      </c>
      <c r="R68" s="1327" t="s">
        <v>414</v>
      </c>
    </row>
    <row r="69" spans="1:18" s="1292" customFormat="1" ht="13.5" thickBot="1">
      <c r="A69" s="897"/>
      <c r="B69" s="898"/>
      <c r="C69" s="298"/>
      <c r="D69" s="916" t="s">
        <v>762</v>
      </c>
      <c r="E69" s="896" t="s">
        <v>763</v>
      </c>
      <c r="F69" s="324">
        <f ca="1">F41</f>
        <v>18</v>
      </c>
      <c r="O69" s="1334" t="s">
        <v>411</v>
      </c>
      <c r="P69" s="1371" t="s">
        <v>872</v>
      </c>
      <c r="Q69" s="1327">
        <f ca="1">C39</f>
        <v>784</v>
      </c>
      <c r="R69" s="1327" t="s">
        <v>818</v>
      </c>
    </row>
    <row r="70" spans="1:18" s="1292" customFormat="1" ht="13.5" thickBot="1">
      <c r="A70" s="900"/>
      <c r="B70" s="901"/>
      <c r="C70" s="302"/>
      <c r="D70" s="912"/>
      <c r="E70" s="896" t="s">
        <v>766</v>
      </c>
      <c r="F70" s="991"/>
      <c r="O70" s="1334" t="s">
        <v>412</v>
      </c>
      <c r="P70" s="1371" t="s">
        <v>873</v>
      </c>
      <c r="Q70" s="1327">
        <f ca="1">C13</f>
        <v>4678</v>
      </c>
      <c r="R70" s="1327" t="s">
        <v>818</v>
      </c>
    </row>
    <row r="71" spans="1:18" s="1292" customFormat="1" ht="13.5" thickBot="1">
      <c r="A71" s="917" t="s">
        <v>396</v>
      </c>
      <c r="B71" s="918" t="s">
        <v>776</v>
      </c>
      <c r="C71" s="327">
        <f ca="1">ROUND(C68*10000/F71,0)</f>
        <v>-209</v>
      </c>
      <c r="D71" s="919" t="s">
        <v>777</v>
      </c>
      <c r="E71" s="920" t="s">
        <v>778</v>
      </c>
      <c r="F71" s="330">
        <f ca="1">F43</f>
        <v>8789.66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327</v>
      </c>
      <c r="D75" s="1292"/>
      <c r="E75" s="1292"/>
      <c r="F75" s="1292"/>
      <c r="K75" s="1309"/>
      <c r="L75" s="1292"/>
      <c r="O75" s="1325" t="s">
        <v>409</v>
      </c>
      <c r="P75" s="1326" t="s">
        <v>838</v>
      </c>
      <c r="Q75" s="1327">
        <f ca="1">Q65+Q66</f>
        <v>9793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0.58299999999999996</v>
      </c>
    </row>
    <row r="80" spans="1:18">
      <c r="B80" s="331" t="s">
        <v>800</v>
      </c>
      <c r="C80" s="266">
        <f ca="1">ROUND(C75/C39,3)</f>
        <v>0.41699999999999998</v>
      </c>
    </row>
    <row r="81" spans="2:3">
      <c r="B81" s="262" t="s">
        <v>801</v>
      </c>
      <c r="C81" s="230"/>
    </row>
    <row r="82" spans="2:3">
      <c r="B82" s="265" t="s">
        <v>802</v>
      </c>
      <c r="C82" s="267">
        <f ca="1">1-C83</f>
        <v>0.52200000000000002</v>
      </c>
    </row>
    <row r="83" spans="2:3">
      <c r="B83" s="265" t="s">
        <v>803</v>
      </c>
      <c r="C83" s="266">
        <f ca="1">ROUND(C13/C40,3)</f>
        <v>0.47799999999999998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DE618-13CC-45F4-BF97-A742D7A4793D}">
  <dimension ref="A1"/>
  <sheetViews>
    <sheetView workbookViewId="0">
      <selection activeCell="N43" sqref="N43"/>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FEBC4-96D4-4386-A50E-E106B3128C81}">
  <dimension ref="A1:L56"/>
  <sheetViews>
    <sheetView workbookViewId="0">
      <selection activeCell="F25" sqref="F25"/>
    </sheetView>
  </sheetViews>
  <sheetFormatPr defaultRowHeight="13.5"/>
  <cols>
    <col min="1" max="1" width="42.125" bestFit="1" customWidth="1"/>
    <col min="2" max="3" width="14.125" bestFit="1" customWidth="1"/>
    <col min="4" max="4" width="12.75" bestFit="1" customWidth="1"/>
    <col min="5" max="5" width="42.125" bestFit="1" customWidth="1"/>
    <col min="6" max="7" width="14.125" bestFit="1" customWidth="1"/>
    <col min="9" max="9" width="42.125" bestFit="1" customWidth="1"/>
    <col min="10" max="11" width="14.125" bestFit="1" customWidth="1"/>
  </cols>
  <sheetData>
    <row r="1" spans="1:12" ht="20.25">
      <c r="A1" s="3508" t="s">
        <v>3452</v>
      </c>
      <c r="B1" s="3508"/>
      <c r="C1" s="3508"/>
      <c r="E1" s="3508" t="s">
        <v>3452</v>
      </c>
      <c r="F1" s="3508"/>
      <c r="G1" s="3508"/>
      <c r="I1" s="3519" t="s">
        <v>3452</v>
      </c>
      <c r="J1" s="3519" t="s">
        <v>3452</v>
      </c>
      <c r="K1" s="3519" t="s">
        <v>3452</v>
      </c>
    </row>
    <row r="2" spans="1:12" ht="14.25" thickBot="1">
      <c r="A2" s="3509" t="str">
        <f>MID("getOrgName('','Company')_@_北京芍药居分店",28,7)</f>
        <v>北京芍药居分店</v>
      </c>
      <c r="B2" s="3509" t="str">
        <f>MID("rptDate('YYYY-MM')_@_2025-06",22,7)</f>
        <v>2025-06</v>
      </c>
      <c r="C2" s="3510" t="s">
        <v>3453</v>
      </c>
      <c r="E2" s="3509" t="str">
        <f>MID("getOrgName('','Company')_@_北京芍药居分店",28,7)</f>
        <v>北京芍药居分店</v>
      </c>
      <c r="F2" s="3509" t="str">
        <f>MID("rptDate('YYYY-MM')_@_2024-12",22,7)</f>
        <v>2024-12</v>
      </c>
      <c r="G2" s="3510" t="s">
        <v>3453</v>
      </c>
      <c r="I2" s="3520" t="s">
        <v>3481</v>
      </c>
      <c r="J2" s="3520" t="s">
        <v>3482</v>
      </c>
      <c r="K2" s="3521" t="s">
        <v>3453</v>
      </c>
    </row>
    <row r="3" spans="1:12">
      <c r="A3" s="3511" t="s">
        <v>3454</v>
      </c>
      <c r="B3" s="3512" t="s">
        <v>3455</v>
      </c>
      <c r="C3" s="3513" t="s">
        <v>3456</v>
      </c>
      <c r="E3" s="3511" t="s">
        <v>3454</v>
      </c>
      <c r="F3" s="3512" t="s">
        <v>3455</v>
      </c>
      <c r="G3" s="3513" t="s">
        <v>3456</v>
      </c>
      <c r="I3" s="3522" t="s">
        <v>3454</v>
      </c>
      <c r="J3" s="3523" t="s">
        <v>3455</v>
      </c>
      <c r="K3" s="3524" t="s">
        <v>3456</v>
      </c>
    </row>
    <row r="4" spans="1:12">
      <c r="A4" s="3514" t="s">
        <v>3457</v>
      </c>
      <c r="B4" s="3515" t="str">
        <f>MID("acct('','6001','SY',0,0,0,0,'')+acct('','6051','SY',0,0,0,0,'')_@_1246313.63",67,10)</f>
        <v>1246313.63</v>
      </c>
      <c r="C4" s="3515" t="str">
        <f>MID("acct('','6001','SL',0,0,0,0,'')+acct('','6051','SL',0,0,0,0,'')_@_6893807.69",67,10)</f>
        <v>6893807.69</v>
      </c>
      <c r="D4">
        <f>C4/6*12</f>
        <v>13787615.380000003</v>
      </c>
      <c r="E4" s="3514" t="s">
        <v>3457</v>
      </c>
      <c r="F4" s="3515" t="str">
        <f>MID("acct('','6001','SY',0,0,0,0,'')+acct('','6051','SY',0,0,0,0,'')_@_1008302.26",67,10)</f>
        <v>1008302.26</v>
      </c>
      <c r="G4" s="3515" t="str">
        <f>MID("acct('','6001','SL',0,0,0,0,'')+acct('','6051','SL',0,0,0,0,'')_@_16005761.05",67,11)</f>
        <v>16005761.05</v>
      </c>
      <c r="I4" s="3525" t="s">
        <v>3457</v>
      </c>
      <c r="J4" s="3526">
        <v>1155326.57</v>
      </c>
      <c r="K4" s="3526">
        <v>16895339.98</v>
      </c>
    </row>
    <row r="5" spans="1:12">
      <c r="A5" s="3516" t="s">
        <v>3458</v>
      </c>
      <c r="B5" s="3515" t="str">
        <f>MID("acct('','6401','SY',0,0,0,0,'')+acct('','6402','SY',0,0,0,0,'')_@_655548.07",67,9)</f>
        <v>655548.07</v>
      </c>
      <c r="C5" s="3515" t="str">
        <f>MID("acct('','6401','SL',0,0,0,0,'')+acct('','6402','SL',0,0,0,0,'')_@_4361602.98",67,10)</f>
        <v>4361602.98</v>
      </c>
      <c r="D5">
        <f>C5/C4</f>
        <v>0.63268416760839463</v>
      </c>
      <c r="E5" s="3516" t="s">
        <v>3458</v>
      </c>
      <c r="F5" s="3515" t="str">
        <f>MID("acct('','6401','SY',0,0,0,0,'')+acct('','6402','SY',0,0,0,0,'')_@_561001.49",67,9)</f>
        <v>561001.49</v>
      </c>
      <c r="G5" s="3515" t="str">
        <f>MID("acct('','6401','SL',0,0,0,0,'')+acct('','6402','SL',0,0,0,0,'')_@_8243945.63",67,10)</f>
        <v>8243945.63</v>
      </c>
      <c r="I5" s="3527" t="s">
        <v>3458</v>
      </c>
      <c r="J5" s="3526">
        <v>2374545.2400000002</v>
      </c>
      <c r="K5" s="3526">
        <v>9000072.3200000003</v>
      </c>
      <c r="L5">
        <f>K5/K4</f>
        <v>0.53269554389872653</v>
      </c>
    </row>
    <row r="6" spans="1:12">
      <c r="A6" s="3516" t="s">
        <v>3459</v>
      </c>
      <c r="B6" s="3515" t="str">
        <f>MID("acct('','6403','SY',0,0,0,0,'')_@_2309.04",35,7)</f>
        <v>2309.04</v>
      </c>
      <c r="C6" s="3515" t="str">
        <f>MID("acct('','6403','SL',0,0,0,0,'')_@_26142.03",35,8)</f>
        <v>26142.03</v>
      </c>
      <c r="D6" s="3612"/>
      <c r="E6" s="3516" t="s">
        <v>3459</v>
      </c>
      <c r="F6" s="3515" t="str">
        <f>MID("acct('','6403','SY',0,0,0,0,'')_@_1962.61",35,7)</f>
        <v>1962.61</v>
      </c>
      <c r="G6" s="3515" t="str">
        <f>MID("acct('','6403','SL',0,0,0,0,'')_@_60358.15",35,8)</f>
        <v>60358.15</v>
      </c>
      <c r="I6" s="3527" t="s">
        <v>3459</v>
      </c>
      <c r="J6" s="3526">
        <v>-818.76</v>
      </c>
      <c r="K6" s="3526">
        <v>45275.75</v>
      </c>
    </row>
    <row r="7" spans="1:12">
      <c r="A7" s="3516" t="s">
        <v>3460</v>
      </c>
      <c r="B7" s="3515" t="str">
        <f>MID("acct('','6601','SY',0,0,0,0,'')_@_99236.99",35,8)</f>
        <v>99236.99</v>
      </c>
      <c r="C7" s="3515" t="str">
        <f>MID("acct('','6601','SL',0,0,0,0,'')_@_594560.48",35,9)</f>
        <v>594560.48</v>
      </c>
      <c r="E7" s="3516" t="s">
        <v>3460</v>
      </c>
      <c r="F7" s="3515" t="str">
        <f>MID("acct('','6601','SY',0,0,0,0,'')_@_190530.69",35,9)</f>
        <v>190530.69</v>
      </c>
      <c r="G7" s="3515" t="str">
        <f>MID("acct('','6601','SL',0,0,0,0,'')_@_1288984.06",35,10)</f>
        <v>1288984.06</v>
      </c>
      <c r="I7" s="3527" t="s">
        <v>3460</v>
      </c>
      <c r="J7" s="3526">
        <v>86823.35</v>
      </c>
      <c r="K7" s="3526">
        <v>1731458.48</v>
      </c>
    </row>
    <row r="8" spans="1:12">
      <c r="A8" s="3516" t="s">
        <v>3461</v>
      </c>
      <c r="B8" s="3515" t="str">
        <f>MID("acct('','6602','SY',0,0,0,0,'')_@_88388.84",35,8)</f>
        <v>88388.84</v>
      </c>
      <c r="C8" s="3515" t="str">
        <f>MID("acct('','6602','SL',0,0,0,0,'')_@_664838.2",35,8)</f>
        <v>664838.2</v>
      </c>
      <c r="E8" s="3516" t="s">
        <v>3461</v>
      </c>
      <c r="F8" s="3515" t="str">
        <f>MID("acct('','6602','SY',0,0,0,0,'')_@_63566.53",35,8)</f>
        <v>63566.53</v>
      </c>
      <c r="G8" s="3515" t="str">
        <f>MID("acct('','6602','SL',0,0,0,0,'')_@_1215519.93",35,10)</f>
        <v>1215519.93</v>
      </c>
      <c r="I8" s="3527" t="s">
        <v>3461</v>
      </c>
      <c r="J8" s="3526">
        <v>65701.55</v>
      </c>
      <c r="K8" s="3526">
        <v>1352172.21</v>
      </c>
    </row>
    <row r="9" spans="1:12">
      <c r="A9" s="3516" t="s">
        <v>3462</v>
      </c>
      <c r="B9" s="3515" t="str">
        <f>MID("acct('','6603','SY',0,0,0,0,'')_@_2710",35,4)</f>
        <v>2710</v>
      </c>
      <c r="C9" s="3515" t="str">
        <f>MID("acct('','6603','SL',0,0,0,0,'')_@_19749.44",35,8)</f>
        <v>19749.44</v>
      </c>
      <c r="E9" s="3516" t="s">
        <v>3462</v>
      </c>
      <c r="F9" s="3515" t="str">
        <f>MID("acct('','6603','SY',0,0,0,0,'')_@_3182.91",35,7)</f>
        <v>3182.91</v>
      </c>
      <c r="G9" s="3515" t="str">
        <f>MID("acct('','6603','SL',0,0,0,0,'')_@_62466.47",35,8)</f>
        <v>62466.47</v>
      </c>
      <c r="I9" s="3527" t="s">
        <v>3462</v>
      </c>
      <c r="J9" s="3526">
        <v>10287.43</v>
      </c>
      <c r="K9" s="3526">
        <v>98207.96</v>
      </c>
    </row>
    <row r="10" spans="1:12">
      <c r="A10" s="3516" t="s">
        <v>3463</v>
      </c>
      <c r="B10" s="3515" t="str">
        <f>MID("acct('','660301','SY',0,0,0,0,'')_@_0",37,1)</f>
        <v>0</v>
      </c>
      <c r="C10" s="3515" t="str">
        <f>MID("acct('','660301','SL',0,0,0,0,'')_@_0",37,1)</f>
        <v>0</v>
      </c>
      <c r="E10" s="3516" t="s">
        <v>3463</v>
      </c>
      <c r="F10" s="3515" t="str">
        <f>MID("acct('','660301','SY',0,0,0,0,'')_@_0",37,1)</f>
        <v>0</v>
      </c>
      <c r="G10" s="3515" t="str">
        <f>MID("acct('','660301','SL',0,0,0,0,'')_@_0",37,1)</f>
        <v>0</v>
      </c>
      <c r="I10" s="3527" t="s">
        <v>3463</v>
      </c>
      <c r="J10" s="3526">
        <v>0</v>
      </c>
      <c r="K10" s="3526">
        <v>0</v>
      </c>
    </row>
    <row r="11" spans="1:12">
      <c r="A11" s="3516" t="s">
        <v>3464</v>
      </c>
      <c r="B11" s="3515" t="str">
        <f>MID("acct('','660302','SY',0,0,0,0,'')_@_-22.11",37,6)</f>
        <v>-22.11</v>
      </c>
      <c r="C11" s="3515" t="str">
        <f>MID("acct('','660302','SL',0,0,0,0,'')_@_-64.19",37,6)</f>
        <v>-64.19</v>
      </c>
      <c r="E11" s="3516" t="s">
        <v>3464</v>
      </c>
      <c r="F11" s="3515" t="str">
        <f>MID("acct('','660302','SY',0,0,0,0,'')_@_-50.5",37,5)</f>
        <v>-50.5</v>
      </c>
      <c r="G11" s="3515" t="str">
        <f>MID("acct('','660302','SL',0,0,0,0,'')_@_-196.07",37,7)</f>
        <v>-196.07</v>
      </c>
      <c r="I11" s="3527" t="s">
        <v>3464</v>
      </c>
      <c r="J11" s="3526">
        <v>-62.39</v>
      </c>
      <c r="K11" s="3526">
        <v>-249</v>
      </c>
    </row>
    <row r="12" spans="1:12">
      <c r="A12" s="3516" t="s">
        <v>3465</v>
      </c>
      <c r="B12" s="3515" t="str">
        <f>MID("acct('','6702','SY',0,0,0,0,'')_@_2776.29",35,7)</f>
        <v>2776.29</v>
      </c>
      <c r="C12" s="3515" t="str">
        <f>MID("acct('','6702','SL',0,0,0,0,'')_@_668.65",35,6)</f>
        <v>668.65</v>
      </c>
      <c r="E12" s="3516" t="s">
        <v>3465</v>
      </c>
      <c r="F12" s="3515" t="str">
        <f>MID("acct('','6702','SY',0,0,0,0,'')_@_1144.55",35,7)</f>
        <v>1144.55</v>
      </c>
      <c r="G12" s="3515" t="str">
        <f>MID("acct('','6702','SL',0,0,0,0,'')_@_2507.45",35,7)</f>
        <v>2507.45</v>
      </c>
      <c r="I12" s="3527" t="s">
        <v>3465</v>
      </c>
      <c r="J12" s="3526">
        <v>898.76</v>
      </c>
      <c r="K12" s="3526">
        <v>-61.08</v>
      </c>
    </row>
    <row r="13" spans="1:12">
      <c r="A13" s="3516" t="s">
        <v>3466</v>
      </c>
      <c r="B13" s="3515" t="str">
        <f>MID("acct('','6701','SY',0,0,0,0,'')_@_0",35,1)</f>
        <v>0</v>
      </c>
      <c r="C13" s="3515" t="str">
        <f>MID("acct('','6701','SL',0,0,0,0,'')_@_0",35,1)</f>
        <v>0</v>
      </c>
      <c r="E13" s="3516" t="s">
        <v>3466</v>
      </c>
      <c r="F13" s="3515" t="str">
        <f>MID("acct('','6701','SY',0,0,0,0,'')_@_0",35,1)</f>
        <v>0</v>
      </c>
      <c r="G13" s="3515" t="str">
        <f>MID("acct('','6701','SL',0,0,0,0,'')_@_0",35,1)</f>
        <v>0</v>
      </c>
      <c r="I13" s="3527" t="s">
        <v>3466</v>
      </c>
      <c r="J13" s="3526">
        <v>0</v>
      </c>
      <c r="K13" s="3526">
        <v>0</v>
      </c>
    </row>
    <row r="14" spans="1:12">
      <c r="A14" s="3516" t="s">
        <v>3467</v>
      </c>
      <c r="B14" s="3515" t="str">
        <f>MID("acct('','6101','SY',0,0,0,0,'')_@_0",35,1)</f>
        <v>0</v>
      </c>
      <c r="C14" s="3515" t="str">
        <f>MID("acct('','6101','SL',0,0,0,0,'')_@_0",35,1)</f>
        <v>0</v>
      </c>
      <c r="E14" s="3516" t="s">
        <v>3467</v>
      </c>
      <c r="F14" s="3515" t="str">
        <f>MID("acct('','6101','SY',0,0,0,0,'')_@_0",35,1)</f>
        <v>0</v>
      </c>
      <c r="G14" s="3515" t="str">
        <f>MID("acct('','6101','SL',0,0,0,0,'')_@_0",35,1)</f>
        <v>0</v>
      </c>
      <c r="I14" s="3527" t="s">
        <v>3467</v>
      </c>
      <c r="J14" s="3526">
        <v>0</v>
      </c>
      <c r="K14" s="3526">
        <v>0</v>
      </c>
    </row>
    <row r="15" spans="1:12">
      <c r="A15" s="3516" t="s">
        <v>3468</v>
      </c>
      <c r="B15" s="3515" t="str">
        <f>MID("acct('','6111','SY',0,0,0,0,'')_@_0",35,1)</f>
        <v>0</v>
      </c>
      <c r="C15" s="3515" t="str">
        <f>MID("acct('','6111','SL',0,0,0,0,'')_@_0",35,1)</f>
        <v>0</v>
      </c>
      <c r="E15" s="3516" t="s">
        <v>3468</v>
      </c>
      <c r="F15" s="3515" t="str">
        <f>MID("acct('','6111','SY',0,0,0,0,'')_@_0",35,1)</f>
        <v>0</v>
      </c>
      <c r="G15" s="3515" t="str">
        <f>MID("acct('','6111','SL',0,0,0,0,'')_@_0",35,1)</f>
        <v>0</v>
      </c>
      <c r="I15" s="3527" t="s">
        <v>3468</v>
      </c>
      <c r="J15" s="3526">
        <v>0</v>
      </c>
      <c r="K15" s="3526">
        <v>0</v>
      </c>
    </row>
    <row r="16" spans="1:12">
      <c r="A16" s="3516" t="s">
        <v>3469</v>
      </c>
      <c r="B16" s="3515"/>
      <c r="C16" s="3515"/>
      <c r="E16" s="3516" t="s">
        <v>3469</v>
      </c>
      <c r="F16" s="3515"/>
      <c r="G16" s="3515"/>
      <c r="I16" s="3527" t="s">
        <v>3469</v>
      </c>
      <c r="J16" s="3528"/>
      <c r="K16" s="3528"/>
    </row>
    <row r="17" spans="1:11">
      <c r="A17" s="3516" t="s">
        <v>3470</v>
      </c>
      <c r="B17" s="3515" t="str">
        <f>MID("acct('','6131','SY',0,0,0,0,'')_@_0",35,1)</f>
        <v>0</v>
      </c>
      <c r="C17" s="3515" t="str">
        <f>MID("acct('','6131','SL',0,0,0,0,'')_@_0",35,1)</f>
        <v>0</v>
      </c>
      <c r="E17" s="3516" t="s">
        <v>3470</v>
      </c>
      <c r="F17" s="3515" t="str">
        <f>MID("acct('','6131','SY',0,0,0,0,'')_@_345.75",35,6)</f>
        <v>345.75</v>
      </c>
      <c r="G17" s="3515" t="str">
        <f>MID("acct('','6131','SL',0,0,0,0,'')_@_0",35,1)</f>
        <v>0</v>
      </c>
      <c r="I17" s="3527" t="s">
        <v>3470</v>
      </c>
      <c r="J17" s="3526">
        <v>0</v>
      </c>
      <c r="K17" s="3526">
        <v>0</v>
      </c>
    </row>
    <row r="18" spans="1:11">
      <c r="A18" s="3516" t="s">
        <v>3471</v>
      </c>
      <c r="B18" s="3515" t="str">
        <f>MID("acct('','6121','SY',0,0,0,0,'')_@_0",35,1)</f>
        <v>0</v>
      </c>
      <c r="C18" s="3515" t="str">
        <f>MID("acct('','6121','SL',0,0,0,0,'')_@_308",35,3)</f>
        <v>308</v>
      </c>
      <c r="E18" s="3516" t="s">
        <v>3471</v>
      </c>
      <c r="F18" s="3515" t="str">
        <f>MID("acct('','6121','SY',0,0,0,0,'')_@_-28968.92",35,9)</f>
        <v>-28968.92</v>
      </c>
      <c r="G18" s="3515" t="str">
        <f>MID("acct('','6121','SL',0,0,0,0,'')_@_-28542.46",35,9)</f>
        <v>-28542.46</v>
      </c>
      <c r="I18" s="3527" t="s">
        <v>3471</v>
      </c>
      <c r="J18" s="3526">
        <v>123.2</v>
      </c>
      <c r="K18" s="3526">
        <v>24145.75</v>
      </c>
    </row>
    <row r="19" spans="1:11">
      <c r="A19" s="3514" t="s">
        <v>3472</v>
      </c>
      <c r="B19" s="3515">
        <f>B4-B5-B6-B7-B8-B9-B12-B13+B14+B15+B17+B18</f>
        <v>395344.39999999997</v>
      </c>
      <c r="C19" s="3515">
        <f>C4-C5-C6-C7-C8-C9-C12-C13+C14+C15+C17+C18</f>
        <v>1226553.9100000004</v>
      </c>
      <c r="E19" s="3514" t="s">
        <v>3472</v>
      </c>
      <c r="F19" s="3515">
        <f>F4-F5-F6-F7-F8-F9-F12-F13+F14+F15+F17+F18</f>
        <v>158290.31000000006</v>
      </c>
      <c r="G19" s="3515">
        <f>G4-G5-G6-G7-G8-G9-G12-G13+G14+G15+G17+G18</f>
        <v>5103436.9000000013</v>
      </c>
      <c r="I19" s="3525" t="s">
        <v>3472</v>
      </c>
      <c r="J19" s="3526">
        <f>J4-J5-J6-J7-J8-J9-J12-J13+J14+J15+J17+J18</f>
        <v>-1381987.8000000003</v>
      </c>
      <c r="K19" s="3526">
        <f>K4-K5-K6-K7-K8-K9-K12-K13+K14+K15+K17+K18</f>
        <v>4692360.09</v>
      </c>
    </row>
    <row r="20" spans="1:11">
      <c r="A20" s="3516" t="s">
        <v>3473</v>
      </c>
      <c r="B20" s="3515" t="str">
        <f>MID("acct('','6301','SY',0,0,0,0,'')_@_0",35,1)</f>
        <v>0</v>
      </c>
      <c r="C20" s="3515" t="str">
        <f>MID("acct('','6301','SL',0,0,0,0,'')_@_0",35,1)</f>
        <v>0</v>
      </c>
      <c r="E20" s="3516" t="s">
        <v>3473</v>
      </c>
      <c r="F20" s="3515" t="str">
        <f>MID("acct('','6301','SY',0,0,0,0,'')_@_-345.75",35,7)</f>
        <v>-345.75</v>
      </c>
      <c r="G20" s="3515" t="str">
        <f>MID("acct('','6301','SL',0,0,0,0,'')_@_2659.65",35,7)</f>
        <v>2659.65</v>
      </c>
      <c r="I20" s="3527" t="s">
        <v>3473</v>
      </c>
      <c r="J20" s="3526">
        <v>0</v>
      </c>
      <c r="K20" s="3526">
        <v>5713.1</v>
      </c>
    </row>
    <row r="21" spans="1:11">
      <c r="A21" s="3516" t="s">
        <v>3474</v>
      </c>
      <c r="B21" s="3515" t="str">
        <f>MID("acct('','6711','SY',0,0,0,0,'')_@_1121.92",35,7)</f>
        <v>1121.92</v>
      </c>
      <c r="C21" s="3515" t="str">
        <f>MID("acct('','6711','SL',0,0,0,0,'')_@_1121.92",35,7)</f>
        <v>1121.92</v>
      </c>
      <c r="E21" s="3516" t="s">
        <v>3474</v>
      </c>
      <c r="F21" s="3515" t="str">
        <f>MID("acct('','6711','SY',0,0,0,0,'')_@_1011.36",35,7)</f>
        <v>1011.36</v>
      </c>
      <c r="G21" s="3515" t="str">
        <f>MID("acct('','6711','SL',0,0,0,0,'')_@_5243.15",35,7)</f>
        <v>5243.15</v>
      </c>
      <c r="I21" s="3527" t="s">
        <v>3474</v>
      </c>
      <c r="J21" s="3526">
        <v>79.55</v>
      </c>
      <c r="K21" s="3526">
        <v>537.37</v>
      </c>
    </row>
    <row r="22" spans="1:11">
      <c r="A22" s="3516" t="s">
        <v>3475</v>
      </c>
      <c r="B22" s="3515"/>
      <c r="C22" s="3515"/>
      <c r="E22" s="3516" t="s">
        <v>3475</v>
      </c>
      <c r="F22" s="3515"/>
      <c r="G22" s="3515"/>
      <c r="I22" s="3527" t="s">
        <v>3475</v>
      </c>
      <c r="J22" s="3528"/>
      <c r="K22" s="3528"/>
    </row>
    <row r="23" spans="1:11">
      <c r="A23" s="3514" t="s">
        <v>3476</v>
      </c>
      <c r="B23" s="3515">
        <f>B19+B20-B21</f>
        <v>394222.48</v>
      </c>
      <c r="C23" s="3515">
        <f>C19+C20-C21</f>
        <v>1225431.9900000005</v>
      </c>
      <c r="E23" s="3514" t="s">
        <v>3476</v>
      </c>
      <c r="F23" s="3515">
        <f>F19+F20-F21</f>
        <v>156933.20000000007</v>
      </c>
      <c r="G23" s="3515">
        <f>G19+G20-G21</f>
        <v>5100853.4000000013</v>
      </c>
      <c r="I23" s="3525" t="s">
        <v>3476</v>
      </c>
      <c r="J23" s="3526">
        <f>J19+J20-J21</f>
        <v>-1382067.3500000003</v>
      </c>
      <c r="K23" s="3526">
        <f>K19+K20-K21</f>
        <v>4697535.8199999994</v>
      </c>
    </row>
    <row r="24" spans="1:11">
      <c r="A24" s="3516" t="s">
        <v>3477</v>
      </c>
      <c r="B24" s="3515" t="str">
        <f>MID("acct('','6801','SY',0,0,0,0,'')_@_0",35,1)</f>
        <v>0</v>
      </c>
      <c r="C24" s="3515" t="str">
        <f>MID("acct('','6801','SL',0,0,0,0,'')_@_0",35,1)</f>
        <v>0</v>
      </c>
      <c r="E24" s="3516" t="s">
        <v>3477</v>
      </c>
      <c r="F24" s="3515" t="str">
        <f>MID("acct('','6801','SY',0,0,0,0,'')_@_0",35,1)</f>
        <v>0</v>
      </c>
      <c r="G24" s="3515" t="str">
        <f>MID("acct('','6801','SL',0,0,0,0,'')_@_0",35,1)</f>
        <v>0</v>
      </c>
      <c r="I24" s="3527" t="s">
        <v>3477</v>
      </c>
      <c r="J24" s="3526">
        <v>0</v>
      </c>
      <c r="K24" s="3526">
        <v>0</v>
      </c>
    </row>
    <row r="25" spans="1:11">
      <c r="A25" s="3514" t="s">
        <v>3478</v>
      </c>
      <c r="B25" s="3515">
        <f>B23-B24</f>
        <v>394222.48</v>
      </c>
      <c r="C25" s="3515">
        <f>C23-C24</f>
        <v>1225431.9900000005</v>
      </c>
      <c r="E25" s="3514" t="s">
        <v>3478</v>
      </c>
      <c r="F25" s="3515">
        <f>F23-F24</f>
        <v>156933.20000000007</v>
      </c>
      <c r="G25" s="3515">
        <f>G23-G24</f>
        <v>5100853.4000000013</v>
      </c>
      <c r="I25" s="3525" t="s">
        <v>3478</v>
      </c>
      <c r="J25" s="3526">
        <f>J23-J24</f>
        <v>-1382067.3500000003</v>
      </c>
      <c r="K25" s="3526">
        <f>K23-K24</f>
        <v>4697535.8199999994</v>
      </c>
    </row>
    <row r="26" spans="1:11">
      <c r="A26" s="3516" t="s">
        <v>3479</v>
      </c>
      <c r="B26" s="3517"/>
      <c r="C26" s="3517"/>
      <c r="E26" s="3516" t="s">
        <v>3479</v>
      </c>
      <c r="F26" s="3517"/>
      <c r="G26" s="3517"/>
      <c r="I26" s="3527" t="s">
        <v>3479</v>
      </c>
      <c r="J26" s="3529"/>
      <c r="K26" s="3529"/>
    </row>
    <row r="27" spans="1:11" ht="14.25" thickBot="1">
      <c r="A27" s="3518" t="s">
        <v>3480</v>
      </c>
      <c r="B27" s="3517"/>
      <c r="C27" s="3517"/>
      <c r="E27" s="3518" t="s">
        <v>3480</v>
      </c>
      <c r="F27" s="3517"/>
      <c r="G27" s="3517"/>
      <c r="I27" s="3530" t="s">
        <v>3480</v>
      </c>
      <c r="J27" s="3529"/>
      <c r="K27" s="3529"/>
    </row>
    <row r="30" spans="1:11" ht="20.25">
      <c r="A30" s="3508" t="s">
        <v>3452</v>
      </c>
      <c r="B30" s="3508"/>
      <c r="C30" s="3508"/>
    </row>
    <row r="31" spans="1:11" ht="14.25" thickBot="1">
      <c r="A31" s="3509" t="str">
        <f>MID("getOrgName('','Company')_@_北京芍药居分店",28,7)</f>
        <v>北京芍药居分店</v>
      </c>
      <c r="B31" s="3509" t="str">
        <f>MID("rptDate('YYYY-MM')_@_2022-12",22,7)</f>
        <v>2022-12</v>
      </c>
      <c r="C31" s="3510" t="s">
        <v>3453</v>
      </c>
    </row>
    <row r="32" spans="1:11">
      <c r="A32" s="3511" t="s">
        <v>3454</v>
      </c>
      <c r="B32" s="3512" t="s">
        <v>3455</v>
      </c>
      <c r="C32" s="3513" t="s">
        <v>3456</v>
      </c>
    </row>
    <row r="33" spans="1:4">
      <c r="A33" s="3514" t="s">
        <v>3457</v>
      </c>
      <c r="B33" s="3515" t="str">
        <f>MID("acct('','6001','SY',0,0,0,0,'')+acct('','6051','SY',0,0,0,0,'')_@_744084.9",67,8)</f>
        <v>744084.9</v>
      </c>
      <c r="C33" s="3515" t="str">
        <f>MID("acct('','6001','SL',0,0,0,0,'')+acct('','6051','SL',0,0,0,0,'')_@_7667922.35",67,10)</f>
        <v>7667922.35</v>
      </c>
    </row>
    <row r="34" spans="1:4">
      <c r="A34" s="3516" t="s">
        <v>3458</v>
      </c>
      <c r="B34" s="3515" t="str">
        <f>MID("acct('','6401','SY',0,0,0,0,'')+acct('','6402','SY',0,0,0,0,'')_@_2418960.95",67,10)</f>
        <v>2418960.95</v>
      </c>
      <c r="C34" s="3515" t="str">
        <f>MID("acct('','6401','SL',0,0,0,0,'')+acct('','6402','SL',0,0,0,0,'')_@_7896092.53",67,10)</f>
        <v>7896092.53</v>
      </c>
      <c r="D34">
        <f>C34/C33</f>
        <v>1.0297564541717092</v>
      </c>
    </row>
    <row r="35" spans="1:4">
      <c r="A35" s="3516" t="s">
        <v>3459</v>
      </c>
      <c r="B35" s="3515" t="str">
        <f>MID("acct('','6403','SY',0,0,0,0,'')_@_811.39",35,6)</f>
        <v>811.39</v>
      </c>
      <c r="C35" s="3515" t="str">
        <f>MID("acct('','6403','SL',0,0,0,0,'')_@_13008.54",35,8)</f>
        <v>13008.54</v>
      </c>
    </row>
    <row r="36" spans="1:4">
      <c r="A36" s="3516" t="s">
        <v>3460</v>
      </c>
      <c r="B36" s="3515" t="str">
        <f>MID("acct('','6601','SY',0,0,0,0,'')_@_87269",35,5)</f>
        <v>87269</v>
      </c>
      <c r="C36" s="3515" t="str">
        <f>MID("acct('','6601','SL',0,0,0,0,'')_@_1285549.74",35,10)</f>
        <v>1285549.74</v>
      </c>
    </row>
    <row r="37" spans="1:4">
      <c r="A37" s="3516" t="s">
        <v>3461</v>
      </c>
      <c r="B37" s="3515" t="str">
        <f>MID("acct('','6602','SY',0,0,0,0,'')_@_105770.76",35,9)</f>
        <v>105770.76</v>
      </c>
      <c r="C37" s="3515" t="str">
        <f>MID("acct('','6602','SL',0,0,0,0,'')_@_1140054.91",35,10)</f>
        <v>1140054.91</v>
      </c>
    </row>
    <row r="38" spans="1:4">
      <c r="A38" s="3516" t="s">
        <v>3462</v>
      </c>
      <c r="B38" s="3515" t="str">
        <f>MID("acct('','6603','SY',0,0,0,0,'')_@_744.75",35,6)</f>
        <v>744.75</v>
      </c>
      <c r="C38" s="3515" t="str">
        <f>MID("acct('','6603','SL',0,0,0,0,'')_@_13880.35",35,8)</f>
        <v>13880.35</v>
      </c>
    </row>
    <row r="39" spans="1:4">
      <c r="A39" s="3516" t="s">
        <v>3463</v>
      </c>
      <c r="B39" s="3515" t="str">
        <f>MID("acct('','660301','SY',0,0,0,0,'')_@_0",37,1)</f>
        <v>0</v>
      </c>
      <c r="C39" s="3515" t="str">
        <f>MID("acct('','660301','SL',0,0,0,0,'')_@_0",37,1)</f>
        <v>0</v>
      </c>
    </row>
    <row r="40" spans="1:4">
      <c r="A40" s="3516" t="s">
        <v>3464</v>
      </c>
      <c r="B40" s="3515" t="str">
        <f>MID("acct('','660302','SY',0,0,0,0,'')_@_-45.54",37,6)</f>
        <v>-45.54</v>
      </c>
      <c r="C40" s="3515" t="str">
        <f>MID("acct('','660302','SL',0,0,0,0,'')_@_-255.74",37,7)</f>
        <v>-255.74</v>
      </c>
    </row>
    <row r="41" spans="1:4">
      <c r="A41" s="3516" t="s">
        <v>3465</v>
      </c>
      <c r="B41" s="3515" t="str">
        <f>MID("acct('','6702','SY',0,0,0,0,'')_@_533.15",35,6)</f>
        <v>533.15</v>
      </c>
      <c r="C41" s="3515" t="str">
        <f>MID("acct('','6702','SL',0,0,0,0,'')_@_533.15",35,6)</f>
        <v>533.15</v>
      </c>
    </row>
    <row r="42" spans="1:4">
      <c r="A42" s="3516" t="s">
        <v>3466</v>
      </c>
      <c r="B42" s="3515" t="str">
        <f>MID("acct('','6701','SY',0,0,0,0,'')_@_0",35,1)</f>
        <v>0</v>
      </c>
      <c r="C42" s="3515" t="str">
        <f>MID("acct('','6701','SL',0,0,0,0,'')_@_0",35,1)</f>
        <v>0</v>
      </c>
    </row>
    <row r="43" spans="1:4">
      <c r="A43" s="3516" t="s">
        <v>3467</v>
      </c>
      <c r="B43" s="3515" t="str">
        <f>MID("acct('','6101','SY',0,0,0,0,'')_@_0",35,1)</f>
        <v>0</v>
      </c>
      <c r="C43" s="3515" t="str">
        <f>MID("acct('','6101','SL',0,0,0,0,'')_@_0",35,1)</f>
        <v>0</v>
      </c>
    </row>
    <row r="44" spans="1:4">
      <c r="A44" s="3516" t="s">
        <v>3468</v>
      </c>
      <c r="B44" s="3515" t="str">
        <f>MID("acct('','6111','SY',0,0,0,0,'')_@_0",35,1)</f>
        <v>0</v>
      </c>
      <c r="C44" s="3515" t="str">
        <f>MID("acct('','6111','SL',0,0,0,0,'')_@_0",35,1)</f>
        <v>0</v>
      </c>
    </row>
    <row r="45" spans="1:4">
      <c r="A45" s="3516" t="s">
        <v>3469</v>
      </c>
      <c r="B45" s="3515"/>
      <c r="C45" s="3515"/>
    </row>
    <row r="46" spans="1:4">
      <c r="A46" s="3516" t="s">
        <v>3470</v>
      </c>
      <c r="B46" s="3515" t="str">
        <f>MID("acct('','6131','SY',0,0,0,0,'')_@_0",35,1)</f>
        <v>0</v>
      </c>
      <c r="C46" s="3515" t="str">
        <f>MID("acct('','6131','SL',0,0,0,0,'')_@_300",35,3)</f>
        <v>300</v>
      </c>
    </row>
    <row r="47" spans="1:4">
      <c r="A47" s="3516" t="s">
        <v>3471</v>
      </c>
      <c r="B47" s="3515" t="str">
        <f>MID("acct('','6121','SY',0,0,0,0,'')_@_546.06",35,6)</f>
        <v>546.06</v>
      </c>
      <c r="C47" s="3515" t="str">
        <f>MID("acct('','6121','SL',0,0,0,0,'')_@_65801.02",35,8)</f>
        <v>65801.02</v>
      </c>
    </row>
    <row r="48" spans="1:4">
      <c r="A48" s="3514" t="s">
        <v>3472</v>
      </c>
      <c r="B48" s="3515">
        <f>B33-B34-B35-B36-B37-B38-B41-B42+B43+B44+B46+B47</f>
        <v>-1869459.04</v>
      </c>
      <c r="C48" s="3515">
        <f>C33-C34-C35-C36-C37-C38-C41-C42+C43+C44+C46+C47</f>
        <v>-2615095.8500000006</v>
      </c>
    </row>
    <row r="49" spans="1:3">
      <c r="A49" s="3516" t="s">
        <v>3473</v>
      </c>
      <c r="B49" s="3515" t="str">
        <f>MID("acct('','6301','SY',0,0,0,0,'')_@_0",35,1)</f>
        <v>0</v>
      </c>
      <c r="C49" s="3515" t="str">
        <f>MID("acct('','6301','SL',0,0,0,0,'')_@_940.29",35,6)</f>
        <v>940.29</v>
      </c>
    </row>
    <row r="50" spans="1:3">
      <c r="A50" s="3516" t="s">
        <v>3474</v>
      </c>
      <c r="B50" s="3515" t="str">
        <f>MID("acct('','6711','SY',0,0,0,0,'')_@_0",35,1)</f>
        <v>0</v>
      </c>
      <c r="C50" s="3515" t="str">
        <f>MID("acct('','6711','SL',0,0,0,0,'')_@_8368.11",35,7)</f>
        <v>8368.11</v>
      </c>
    </row>
    <row r="51" spans="1:3">
      <c r="A51" s="3516" t="s">
        <v>3475</v>
      </c>
      <c r="B51" s="3515"/>
      <c r="C51" s="3515"/>
    </row>
    <row r="52" spans="1:3">
      <c r="A52" s="3514" t="s">
        <v>3476</v>
      </c>
      <c r="B52" s="3515">
        <f>B48+B49-B50</f>
        <v>-1869459.04</v>
      </c>
      <c r="C52" s="3515">
        <f>C48+C49-C50</f>
        <v>-2622523.6700000004</v>
      </c>
    </row>
    <row r="53" spans="1:3">
      <c r="A53" s="3516" t="s">
        <v>3477</v>
      </c>
      <c r="B53" s="3515" t="str">
        <f>MID("acct('','6801','SY',0,0,0,0,'')_@_0",35,1)</f>
        <v>0</v>
      </c>
      <c r="C53" s="3515" t="str">
        <f>MID("acct('','6801','SL',0,0,0,0,'')_@_0",35,1)</f>
        <v>0</v>
      </c>
    </row>
    <row r="54" spans="1:3">
      <c r="A54" s="3514" t="s">
        <v>3478</v>
      </c>
      <c r="B54" s="3515">
        <f>B52-B53</f>
        <v>-1869459.04</v>
      </c>
      <c r="C54" s="3515">
        <f>C52-C53</f>
        <v>-2622523.6700000004</v>
      </c>
    </row>
    <row r="55" spans="1:3">
      <c r="A55" s="3516" t="s">
        <v>3479</v>
      </c>
      <c r="B55" s="3517"/>
      <c r="C55" s="3517"/>
    </row>
    <row r="56" spans="1:3" ht="14.25" thickBot="1">
      <c r="A56" s="3518" t="s">
        <v>3480</v>
      </c>
      <c r="B56" s="3517"/>
      <c r="C56" s="3517"/>
    </row>
  </sheetData>
  <mergeCells count="4">
    <mergeCell ref="A1:C1"/>
    <mergeCell ref="E1:G1"/>
    <mergeCell ref="I1:K1"/>
    <mergeCell ref="A30:C30"/>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BC1C0-F387-4DC5-B8E4-7728F2824A24}">
  <dimension ref="A1:Y45"/>
  <sheetViews>
    <sheetView workbookViewId="0">
      <selection activeCell="J27" sqref="J27"/>
    </sheetView>
  </sheetViews>
  <sheetFormatPr defaultColWidth="9" defaultRowHeight="24.95" customHeight="1"/>
  <cols>
    <col min="1" max="1" width="5.75" style="3536" customWidth="1"/>
    <col min="2" max="2" width="25" style="3536" customWidth="1"/>
    <col min="3" max="3" width="26.625" style="3536" customWidth="1"/>
    <col min="4" max="4" width="29.375" style="3536" customWidth="1"/>
    <col min="5" max="5" width="21.5" style="3536" customWidth="1"/>
    <col min="6" max="6" width="13.75" style="3536" customWidth="1"/>
    <col min="7" max="7" width="12.375" style="3536" customWidth="1"/>
    <col min="8" max="8" width="9" style="3536"/>
    <col min="9" max="9" width="15.375" style="3536" customWidth="1"/>
    <col min="10" max="10" width="13.875" style="3536" customWidth="1"/>
    <col min="11" max="11" width="10.75" style="3536" customWidth="1"/>
    <col min="12" max="13" width="13.875" style="3536" customWidth="1"/>
    <col min="14" max="14" width="24.25" style="3536" customWidth="1"/>
    <col min="15" max="16" width="13.875" style="3536" customWidth="1"/>
    <col min="17" max="17" width="18.25" style="3536" customWidth="1"/>
    <col min="18" max="18" width="15.5" style="3536" customWidth="1"/>
    <col min="19" max="21" width="11.75" style="3536" customWidth="1"/>
    <col min="22" max="22" width="14" style="3536" customWidth="1"/>
    <col min="23" max="23" width="13.875" style="3536" customWidth="1"/>
    <col min="24" max="24" width="35.875" style="3536" customWidth="1"/>
    <col min="25" max="16384" width="9" style="3536"/>
  </cols>
  <sheetData>
    <row r="1" spans="1:25" s="3533" customFormat="1" ht="33" customHeight="1">
      <c r="A1" s="3531" t="s">
        <v>3483</v>
      </c>
      <c r="B1" s="3531"/>
      <c r="C1" s="3531"/>
      <c r="D1" s="3532"/>
      <c r="E1" s="3532"/>
      <c r="F1" s="3532"/>
      <c r="G1" s="3532"/>
      <c r="H1" s="3532"/>
      <c r="I1" s="3532"/>
      <c r="J1" s="3532"/>
      <c r="K1" s="3532"/>
      <c r="L1" s="3532"/>
      <c r="M1" s="3532"/>
      <c r="N1" s="3532"/>
      <c r="O1" s="3532"/>
      <c r="P1" s="3532"/>
      <c r="Q1" s="3532"/>
      <c r="R1" s="3532"/>
      <c r="S1" s="3532"/>
      <c r="T1" s="3532"/>
      <c r="U1" s="3532"/>
      <c r="V1" s="3532"/>
      <c r="W1" s="3532"/>
      <c r="X1" s="3532"/>
    </row>
    <row r="2" spans="1:25" ht="24.95" customHeight="1">
      <c r="A2" s="3534" t="s">
        <v>3484</v>
      </c>
      <c r="B2" s="3535"/>
      <c r="C2" s="3535" t="s">
        <v>3485</v>
      </c>
      <c r="D2" s="3535"/>
      <c r="E2" s="3535"/>
      <c r="F2" s="3535"/>
      <c r="G2" s="3535"/>
      <c r="H2" s="3535"/>
      <c r="I2" s="3535"/>
      <c r="J2" s="3535"/>
      <c r="K2" s="3535"/>
      <c r="L2" s="3535"/>
      <c r="M2" s="3535"/>
      <c r="N2" s="3535"/>
      <c r="O2" s="3535"/>
      <c r="P2" s="3535"/>
      <c r="Q2" s="3535"/>
      <c r="R2" s="3535"/>
      <c r="S2" s="3535"/>
      <c r="T2" s="3535"/>
      <c r="U2" s="3535"/>
      <c r="V2" s="3535"/>
      <c r="W2" s="3535"/>
      <c r="X2" s="3535"/>
    </row>
    <row r="3" spans="1:25" ht="24.95" customHeight="1">
      <c r="A3" s="3537" t="s">
        <v>3486</v>
      </c>
      <c r="B3" s="3537"/>
      <c r="C3" s="3537"/>
      <c r="D3" s="3537"/>
      <c r="E3" s="3537"/>
      <c r="F3" s="3537"/>
      <c r="G3" s="3537"/>
      <c r="H3" s="3537"/>
      <c r="I3" s="3537"/>
      <c r="J3" s="3537"/>
      <c r="K3" s="3537"/>
      <c r="L3" s="3537"/>
      <c r="M3" s="3537"/>
      <c r="N3" s="3537"/>
      <c r="O3" s="3537"/>
      <c r="P3" s="3537"/>
      <c r="Q3" s="3537"/>
      <c r="R3" s="3537"/>
      <c r="S3" s="3537"/>
      <c r="T3" s="3537"/>
      <c r="U3" s="3537"/>
      <c r="V3" s="3537"/>
      <c r="W3" s="3537"/>
      <c r="X3" s="3537"/>
      <c r="Y3" s="3538"/>
    </row>
    <row r="4" spans="1:25" ht="24.95" customHeight="1">
      <c r="A4" s="3539" t="s">
        <v>3487</v>
      </c>
      <c r="B4" s="3540"/>
      <c r="C4" s="3541"/>
      <c r="D4" s="3542"/>
      <c r="E4" s="3542"/>
      <c r="F4" s="3542"/>
      <c r="G4" s="3543"/>
      <c r="H4" s="3544"/>
      <c r="I4" s="3544"/>
      <c r="J4" s="3544"/>
      <c r="K4" s="3544"/>
      <c r="L4" s="3544"/>
      <c r="M4" s="3544"/>
      <c r="N4" s="3544"/>
      <c r="O4" s="3544"/>
      <c r="P4" s="3544"/>
      <c r="Q4" s="3544"/>
      <c r="R4" s="3544"/>
      <c r="S4" s="3545"/>
      <c r="T4" s="3545"/>
      <c r="U4" s="3545"/>
      <c r="V4" s="3545"/>
      <c r="W4" s="3545"/>
      <c r="X4" s="3545"/>
      <c r="Y4" s="3538"/>
    </row>
    <row r="5" spans="1:25" ht="24.95" customHeight="1">
      <c r="A5" s="3544" t="s">
        <v>3488</v>
      </c>
      <c r="B5" s="3544"/>
      <c r="C5" s="3544"/>
      <c r="D5" s="3544"/>
      <c r="E5" s="3544"/>
      <c r="F5" s="3544"/>
      <c r="G5" s="3544"/>
      <c r="H5" s="3544"/>
      <c r="I5" s="3546"/>
      <c r="J5" s="3547"/>
      <c r="K5" s="3547"/>
      <c r="L5" s="3547"/>
      <c r="M5" s="3547"/>
      <c r="N5" s="3547"/>
      <c r="O5" s="3547"/>
      <c r="P5" s="3547"/>
      <c r="Q5" s="3547"/>
      <c r="R5" s="3547"/>
      <c r="S5" s="3548"/>
      <c r="T5" s="3548"/>
      <c r="U5" s="3548"/>
      <c r="V5" s="3548"/>
      <c r="W5" s="3548"/>
      <c r="X5" s="3548"/>
      <c r="Y5" s="3538"/>
    </row>
    <row r="6" spans="1:25" ht="24.95" customHeight="1">
      <c r="A6" s="3537" t="s">
        <v>3489</v>
      </c>
      <c r="B6" s="3537"/>
      <c r="C6" s="3537"/>
      <c r="D6" s="3537"/>
      <c r="E6" s="3537"/>
      <c r="F6" s="3537"/>
      <c r="G6" s="3537"/>
      <c r="H6" s="3537"/>
      <c r="I6" s="3537"/>
      <c r="J6" s="3537"/>
      <c r="K6" s="3537"/>
      <c r="L6" s="3537"/>
      <c r="M6" s="3537"/>
      <c r="N6" s="3537"/>
      <c r="O6" s="3537"/>
      <c r="P6" s="3537"/>
      <c r="Q6" s="3537"/>
      <c r="R6" s="3537"/>
      <c r="S6" s="3537"/>
      <c r="T6" s="3537"/>
      <c r="U6" s="3537"/>
      <c r="V6" s="3537"/>
      <c r="W6" s="3537"/>
      <c r="X6" s="3537"/>
      <c r="Y6" s="3538"/>
    </row>
    <row r="7" spans="1:25" ht="24.95" customHeight="1">
      <c r="A7" s="3549" t="s">
        <v>3490</v>
      </c>
      <c r="B7" s="3549" t="s">
        <v>3491</v>
      </c>
      <c r="C7" s="3549" t="s">
        <v>3492</v>
      </c>
      <c r="D7" s="3549" t="s">
        <v>3493</v>
      </c>
      <c r="E7" s="3549" t="s">
        <v>3494</v>
      </c>
      <c r="F7" s="3549" t="s">
        <v>3495</v>
      </c>
      <c r="G7" s="3549" t="s">
        <v>3496</v>
      </c>
      <c r="H7" s="3549" t="s">
        <v>3497</v>
      </c>
      <c r="I7" s="3549" t="s">
        <v>3498</v>
      </c>
      <c r="J7" s="3549" t="s">
        <v>3499</v>
      </c>
      <c r="K7" s="3549" t="s">
        <v>3500</v>
      </c>
      <c r="L7" s="3549" t="s">
        <v>3501</v>
      </c>
      <c r="M7" s="3549" t="s">
        <v>3502</v>
      </c>
      <c r="N7" s="3549" t="s">
        <v>3503</v>
      </c>
      <c r="O7" s="3549" t="s">
        <v>3504</v>
      </c>
      <c r="P7" s="3549" t="s">
        <v>3505</v>
      </c>
      <c r="Q7" s="3549" t="s">
        <v>3506</v>
      </c>
      <c r="R7" s="3549" t="s">
        <v>3507</v>
      </c>
      <c r="S7" s="3549" t="s">
        <v>3508</v>
      </c>
      <c r="T7" s="3549" t="s">
        <v>3509</v>
      </c>
      <c r="U7" s="3549" t="s">
        <v>3510</v>
      </c>
      <c r="V7" s="3549" t="s">
        <v>3511</v>
      </c>
      <c r="W7" s="3549" t="s">
        <v>3512</v>
      </c>
      <c r="X7" s="3549" t="s">
        <v>3513</v>
      </c>
      <c r="Y7" s="3549" t="s">
        <v>3514</v>
      </c>
    </row>
    <row r="8" spans="1:25" ht="24.95" customHeight="1">
      <c r="A8" s="3550">
        <v>1</v>
      </c>
      <c r="B8" s="3551" t="s">
        <v>3515</v>
      </c>
      <c r="C8" s="3552" t="s">
        <v>3516</v>
      </c>
      <c r="D8" s="3553" t="s">
        <v>3517</v>
      </c>
      <c r="E8" s="3553" t="s">
        <v>3518</v>
      </c>
      <c r="F8" s="3554" t="s">
        <v>3519</v>
      </c>
      <c r="G8" s="3555">
        <v>170</v>
      </c>
      <c r="H8" s="3556">
        <v>7.5</v>
      </c>
      <c r="I8" s="3557" t="s">
        <v>3520</v>
      </c>
      <c r="J8" s="3558">
        <v>47815</v>
      </c>
      <c r="K8" s="3559" t="s">
        <v>3521</v>
      </c>
      <c r="L8" s="3554">
        <v>95630</v>
      </c>
      <c r="M8" s="3557">
        <v>45505</v>
      </c>
      <c r="N8" s="3554" t="s">
        <v>3522</v>
      </c>
      <c r="O8" s="3560" t="s">
        <v>3485</v>
      </c>
      <c r="P8" s="3554" t="s">
        <v>3523</v>
      </c>
      <c r="Q8" s="3561" t="s">
        <v>3524</v>
      </c>
      <c r="R8" s="3562">
        <v>47815</v>
      </c>
      <c r="S8" s="3563"/>
      <c r="T8" s="3563"/>
      <c r="U8" s="3564">
        <v>0</v>
      </c>
      <c r="V8" s="3562">
        <v>47815</v>
      </c>
      <c r="W8" s="3563">
        <v>0</v>
      </c>
      <c r="X8" s="3565" t="s">
        <v>3525</v>
      </c>
      <c r="Y8" s="3563">
        <f>W8</f>
        <v>0</v>
      </c>
    </row>
    <row r="9" spans="1:25" ht="24.95" customHeight="1">
      <c r="A9" s="3550"/>
      <c r="B9" s="3566"/>
      <c r="C9" s="3567"/>
      <c r="D9" s="3568"/>
      <c r="E9" s="3568"/>
      <c r="F9" s="3569"/>
      <c r="G9" s="3555">
        <v>110</v>
      </c>
      <c r="H9" s="3556">
        <v>2.7</v>
      </c>
      <c r="I9" s="3570"/>
      <c r="J9" s="3558"/>
      <c r="K9" s="3571"/>
      <c r="L9" s="3569"/>
      <c r="M9" s="3570"/>
      <c r="N9" s="3569"/>
      <c r="O9" s="3560"/>
      <c r="P9" s="3572"/>
      <c r="Q9" s="3561" t="s">
        <v>3524</v>
      </c>
      <c r="R9" s="3573"/>
      <c r="S9" s="3574"/>
      <c r="T9" s="3574"/>
      <c r="U9" s="3564">
        <v>0</v>
      </c>
      <c r="V9" s="3573"/>
      <c r="W9" s="3563">
        <v>0</v>
      </c>
      <c r="X9" s="3565" t="s">
        <v>3525</v>
      </c>
      <c r="Y9" s="3563">
        <f t="shared" ref="Y9:Y20" si="0">W9</f>
        <v>0</v>
      </c>
    </row>
    <row r="10" spans="1:25" ht="24.95" customHeight="1">
      <c r="A10" s="3564">
        <v>2</v>
      </c>
      <c r="B10" s="3575" t="s">
        <v>3526</v>
      </c>
      <c r="C10" s="3575" t="s">
        <v>3527</v>
      </c>
      <c r="D10" s="3576" t="s">
        <v>3528</v>
      </c>
      <c r="E10" s="3576" t="s">
        <v>3529</v>
      </c>
      <c r="F10" s="3577" t="s">
        <v>3530</v>
      </c>
      <c r="G10" s="3561">
        <v>127.93</v>
      </c>
      <c r="H10" s="3556">
        <v>8</v>
      </c>
      <c r="I10" s="3578" t="s">
        <v>3531</v>
      </c>
      <c r="J10" s="3579">
        <v>31129.63</v>
      </c>
      <c r="K10" s="3580" t="s">
        <v>3532</v>
      </c>
      <c r="L10" s="3561">
        <v>62259.26</v>
      </c>
      <c r="M10" s="3578">
        <v>45280</v>
      </c>
      <c r="N10" s="3581" t="s">
        <v>3533</v>
      </c>
      <c r="O10" s="3561" t="s">
        <v>3485</v>
      </c>
      <c r="P10" s="3577" t="s">
        <v>3523</v>
      </c>
      <c r="Q10" s="3561" t="s">
        <v>3524</v>
      </c>
      <c r="R10" s="3579">
        <v>31129.63</v>
      </c>
      <c r="S10" s="3574"/>
      <c r="T10" s="3574"/>
      <c r="U10" s="3564">
        <v>0</v>
      </c>
      <c r="V10" s="3579">
        <v>31129.63</v>
      </c>
      <c r="W10" s="3563">
        <v>0</v>
      </c>
      <c r="X10" s="3565" t="s">
        <v>3525</v>
      </c>
      <c r="Y10" s="3563">
        <f t="shared" si="0"/>
        <v>0</v>
      </c>
    </row>
    <row r="11" spans="1:25" ht="24.95" customHeight="1">
      <c r="A11" s="3564">
        <v>3</v>
      </c>
      <c r="B11" s="3565" t="s">
        <v>3534</v>
      </c>
      <c r="C11" s="3575" t="s">
        <v>3535</v>
      </c>
      <c r="D11" s="3576" t="s">
        <v>3536</v>
      </c>
      <c r="E11" s="3576" t="s">
        <v>3537</v>
      </c>
      <c r="F11" s="3577" t="s">
        <v>3538</v>
      </c>
      <c r="G11" s="3563">
        <v>190</v>
      </c>
      <c r="H11" s="3556">
        <v>8</v>
      </c>
      <c r="I11" s="3578" t="s">
        <v>3539</v>
      </c>
      <c r="J11" s="3561">
        <v>46233.33</v>
      </c>
      <c r="K11" s="3580" t="s">
        <v>3532</v>
      </c>
      <c r="L11" s="3561">
        <v>92466.66</v>
      </c>
      <c r="M11" s="3578">
        <v>45352</v>
      </c>
      <c r="N11" s="3581" t="s">
        <v>3540</v>
      </c>
      <c r="O11" s="3561" t="s">
        <v>3485</v>
      </c>
      <c r="P11" s="3577" t="s">
        <v>3523</v>
      </c>
      <c r="Q11" s="3561" t="s">
        <v>3524</v>
      </c>
      <c r="R11" s="3561">
        <v>46233.33</v>
      </c>
      <c r="S11" s="3582"/>
      <c r="T11" s="3582"/>
      <c r="U11" s="3564">
        <v>0</v>
      </c>
      <c r="V11" s="3561">
        <v>46233.33</v>
      </c>
      <c r="W11" s="3563">
        <v>0</v>
      </c>
      <c r="X11" s="3565" t="s">
        <v>3525</v>
      </c>
      <c r="Y11" s="3563">
        <f t="shared" si="0"/>
        <v>0</v>
      </c>
    </row>
    <row r="12" spans="1:25" ht="24.95" customHeight="1">
      <c r="A12" s="3550">
        <v>4</v>
      </c>
      <c r="B12" s="3551" t="s">
        <v>3541</v>
      </c>
      <c r="C12" s="3552" t="s">
        <v>3542</v>
      </c>
      <c r="D12" s="3583" t="s">
        <v>3543</v>
      </c>
      <c r="E12" s="3584" t="s">
        <v>3544</v>
      </c>
      <c r="F12" s="3554" t="s">
        <v>3538</v>
      </c>
      <c r="G12" s="3563">
        <v>410</v>
      </c>
      <c r="H12" s="3556">
        <v>8</v>
      </c>
      <c r="I12" s="3585" t="s">
        <v>3545</v>
      </c>
      <c r="J12" s="3586">
        <v>113393.67</v>
      </c>
      <c r="K12" s="3554" t="s">
        <v>3532</v>
      </c>
      <c r="L12" s="3587">
        <v>226787.34</v>
      </c>
      <c r="M12" s="3585">
        <v>45017</v>
      </c>
      <c r="N12" s="3588" t="s">
        <v>3546</v>
      </c>
      <c r="O12" s="3560" t="s">
        <v>3547</v>
      </c>
      <c r="P12" s="3554" t="s">
        <v>3523</v>
      </c>
      <c r="Q12" s="3561" t="s">
        <v>3524</v>
      </c>
      <c r="R12" s="3589">
        <v>113393.67</v>
      </c>
      <c r="S12" s="3590"/>
      <c r="T12" s="3590"/>
      <c r="U12" s="3564">
        <v>0</v>
      </c>
      <c r="V12" s="3589">
        <v>113393.67</v>
      </c>
      <c r="W12" s="3563">
        <v>0</v>
      </c>
      <c r="X12" s="3565" t="s">
        <v>3525</v>
      </c>
      <c r="Y12" s="3563">
        <f t="shared" si="0"/>
        <v>0</v>
      </c>
    </row>
    <row r="13" spans="1:25" ht="24.95" customHeight="1">
      <c r="A13" s="3550"/>
      <c r="B13" s="3566"/>
      <c r="C13" s="3567"/>
      <c r="D13" s="3591"/>
      <c r="E13" s="3592"/>
      <c r="F13" s="3572"/>
      <c r="G13" s="3561">
        <v>160</v>
      </c>
      <c r="H13" s="3593">
        <v>2.8</v>
      </c>
      <c r="I13" s="3594"/>
      <c r="J13" s="3586"/>
      <c r="K13" s="3572"/>
      <c r="L13" s="3595"/>
      <c r="M13" s="3594"/>
      <c r="N13" s="3588"/>
      <c r="O13" s="3560"/>
      <c r="P13" s="3572"/>
      <c r="Q13" s="3561" t="s">
        <v>3524</v>
      </c>
      <c r="R13" s="3596"/>
      <c r="S13" s="3563"/>
      <c r="T13" s="3563"/>
      <c r="U13" s="3564">
        <v>0</v>
      </c>
      <c r="V13" s="3596"/>
      <c r="W13" s="3563">
        <v>0</v>
      </c>
      <c r="X13" s="3565" t="s">
        <v>3525</v>
      </c>
      <c r="Y13" s="3563">
        <f t="shared" si="0"/>
        <v>0</v>
      </c>
    </row>
    <row r="14" spans="1:25" ht="24.95" customHeight="1">
      <c r="A14" s="3564">
        <v>5</v>
      </c>
      <c r="B14" s="3565" t="s">
        <v>3548</v>
      </c>
      <c r="C14" s="3575" t="s">
        <v>3549</v>
      </c>
      <c r="D14" s="3576" t="s">
        <v>3550</v>
      </c>
      <c r="E14" s="3576" t="s">
        <v>3551</v>
      </c>
      <c r="F14" s="3561" t="s">
        <v>3538</v>
      </c>
      <c r="G14" s="3561">
        <v>151</v>
      </c>
      <c r="H14" s="3593">
        <v>7.5</v>
      </c>
      <c r="I14" s="3597" t="s">
        <v>3552</v>
      </c>
      <c r="J14" s="3593">
        <v>36743.33</v>
      </c>
      <c r="K14" s="3598" t="s">
        <v>3553</v>
      </c>
      <c r="L14" s="3599">
        <v>68893.75</v>
      </c>
      <c r="M14" s="3597">
        <v>45009</v>
      </c>
      <c r="N14" s="3581" t="s">
        <v>3554</v>
      </c>
      <c r="O14" s="3561" t="s">
        <v>3547</v>
      </c>
      <c r="P14" s="3577" t="s">
        <v>3523</v>
      </c>
      <c r="Q14" s="3561" t="s">
        <v>3524</v>
      </c>
      <c r="R14" s="3593">
        <v>36743.33</v>
      </c>
      <c r="S14" s="3574"/>
      <c r="T14" s="3574"/>
      <c r="U14" s="3564">
        <v>0</v>
      </c>
      <c r="V14" s="3593">
        <v>36743.33</v>
      </c>
      <c r="W14" s="3563">
        <v>0</v>
      </c>
      <c r="X14" s="3565" t="s">
        <v>3525</v>
      </c>
      <c r="Y14" s="3563">
        <f t="shared" si="0"/>
        <v>0</v>
      </c>
    </row>
    <row r="15" spans="1:25" ht="24.95" customHeight="1">
      <c r="A15" s="3564">
        <v>6</v>
      </c>
      <c r="B15" s="3575" t="s">
        <v>3555</v>
      </c>
      <c r="C15" s="3565"/>
      <c r="D15" s="3576" t="s">
        <v>3556</v>
      </c>
      <c r="E15" s="3576" t="s">
        <v>3551</v>
      </c>
      <c r="F15" s="3561" t="s">
        <v>3538</v>
      </c>
      <c r="G15" s="3561">
        <v>120</v>
      </c>
      <c r="H15" s="3556">
        <v>7</v>
      </c>
      <c r="I15" s="3578" t="s">
        <v>3557</v>
      </c>
      <c r="J15" s="3556">
        <v>27557.5</v>
      </c>
      <c r="K15" s="3600" t="s">
        <v>3558</v>
      </c>
      <c r="L15" s="3561">
        <v>55115</v>
      </c>
      <c r="M15" s="3578" t="s">
        <v>3559</v>
      </c>
      <c r="N15" s="3581" t="s">
        <v>3560</v>
      </c>
      <c r="O15" s="3561" t="s">
        <v>3547</v>
      </c>
      <c r="P15" s="3561" t="s">
        <v>3523</v>
      </c>
      <c r="Q15" s="3561" t="s">
        <v>3524</v>
      </c>
      <c r="R15" s="3556">
        <v>27557.5</v>
      </c>
      <c r="S15" s="3574"/>
      <c r="T15" s="3574"/>
      <c r="U15" s="3564">
        <v>0</v>
      </c>
      <c r="V15" s="3556">
        <v>27557.5</v>
      </c>
      <c r="W15" s="3563">
        <v>0</v>
      </c>
      <c r="X15" s="3565" t="s">
        <v>3525</v>
      </c>
      <c r="Y15" s="3563">
        <f t="shared" si="0"/>
        <v>0</v>
      </c>
    </row>
    <row r="16" spans="1:25" ht="24.95" customHeight="1">
      <c r="A16" s="3564">
        <v>7</v>
      </c>
      <c r="B16" s="3575"/>
      <c r="C16" s="3575" t="s">
        <v>3561</v>
      </c>
      <c r="D16" s="3576" t="s">
        <v>3562</v>
      </c>
      <c r="E16" s="3576" t="s">
        <v>3563</v>
      </c>
      <c r="F16" s="3561" t="s">
        <v>3564</v>
      </c>
      <c r="G16" s="3561">
        <v>200</v>
      </c>
      <c r="H16" s="3556">
        <v>2.7</v>
      </c>
      <c r="I16" s="3578" t="s">
        <v>3565</v>
      </c>
      <c r="J16" s="3556">
        <v>16425</v>
      </c>
      <c r="K16" s="3561" t="s">
        <v>3532</v>
      </c>
      <c r="L16" s="3561">
        <v>32850</v>
      </c>
      <c r="M16" s="3578">
        <v>45400</v>
      </c>
      <c r="N16" s="3581" t="s">
        <v>3566</v>
      </c>
      <c r="O16" s="3561" t="s">
        <v>3485</v>
      </c>
      <c r="P16" s="3561" t="s">
        <v>3523</v>
      </c>
      <c r="Q16" s="3561" t="s">
        <v>3524</v>
      </c>
      <c r="R16" s="3556">
        <v>16425</v>
      </c>
      <c r="S16" s="3563"/>
      <c r="T16" s="3563"/>
      <c r="U16" s="3564">
        <v>0</v>
      </c>
      <c r="V16" s="3556">
        <v>16425</v>
      </c>
      <c r="W16" s="3563">
        <v>0</v>
      </c>
      <c r="X16" s="3565" t="s">
        <v>3525</v>
      </c>
      <c r="Y16" s="3563">
        <f t="shared" si="0"/>
        <v>0</v>
      </c>
    </row>
    <row r="17" spans="1:25" ht="24.95" customHeight="1">
      <c r="A17" s="3564">
        <v>8</v>
      </c>
      <c r="B17" s="3565"/>
      <c r="C17" s="3575" t="s">
        <v>3567</v>
      </c>
      <c r="D17" s="3601" t="s">
        <v>3568</v>
      </c>
      <c r="E17" s="3576" t="s">
        <v>3563</v>
      </c>
      <c r="F17" s="3602" t="s">
        <v>3569</v>
      </c>
      <c r="G17" s="3561">
        <v>300</v>
      </c>
      <c r="H17" s="3556">
        <v>2.7</v>
      </c>
      <c r="I17" s="3578" t="s">
        <v>3570</v>
      </c>
      <c r="J17" s="3599">
        <v>24637.5</v>
      </c>
      <c r="K17" s="3561" t="s">
        <v>3571</v>
      </c>
      <c r="L17" s="3561">
        <v>49275</v>
      </c>
      <c r="M17" s="3578">
        <v>45309</v>
      </c>
      <c r="N17" s="3581" t="s">
        <v>3572</v>
      </c>
      <c r="O17" s="3561" t="s">
        <v>3485</v>
      </c>
      <c r="P17" s="3561" t="s">
        <v>3523</v>
      </c>
      <c r="Q17" s="3561" t="s">
        <v>3524</v>
      </c>
      <c r="R17" s="3599">
        <v>24637.5</v>
      </c>
      <c r="S17" s="3563"/>
      <c r="T17" s="3563"/>
      <c r="U17" s="3564">
        <v>0</v>
      </c>
      <c r="V17" s="3599">
        <v>24637.5</v>
      </c>
      <c r="W17" s="3563">
        <v>0</v>
      </c>
      <c r="X17" s="3565" t="s">
        <v>3525</v>
      </c>
      <c r="Y17" s="3563">
        <f t="shared" si="0"/>
        <v>0</v>
      </c>
    </row>
    <row r="18" spans="1:25" ht="24.95" customHeight="1">
      <c r="A18" s="3564">
        <v>9</v>
      </c>
      <c r="B18" s="3565"/>
      <c r="C18" s="3575"/>
      <c r="D18" s="3576" t="s">
        <v>3573</v>
      </c>
      <c r="E18" s="3576" t="s">
        <v>3574</v>
      </c>
      <c r="F18" s="3602" t="s">
        <v>3575</v>
      </c>
      <c r="G18" s="3561">
        <v>6</v>
      </c>
      <c r="H18" s="3556">
        <v>5.55</v>
      </c>
      <c r="I18" s="3578" t="s">
        <v>3576</v>
      </c>
      <c r="J18" s="3599">
        <v>1000</v>
      </c>
      <c r="K18" s="3561" t="s">
        <v>3577</v>
      </c>
      <c r="L18" s="3561" t="s">
        <v>3578</v>
      </c>
      <c r="M18" s="3578">
        <v>44166</v>
      </c>
      <c r="N18" s="3581" t="s">
        <v>3579</v>
      </c>
      <c r="O18" s="3561" t="s">
        <v>3485</v>
      </c>
      <c r="P18" s="3561" t="s">
        <v>3523</v>
      </c>
      <c r="Q18" s="3561" t="s">
        <v>3524</v>
      </c>
      <c r="R18" s="3599">
        <v>1000</v>
      </c>
      <c r="S18" s="3563"/>
      <c r="T18" s="3563"/>
      <c r="U18" s="3564">
        <v>0</v>
      </c>
      <c r="V18" s="3599">
        <v>1000</v>
      </c>
      <c r="W18" s="3563">
        <v>0</v>
      </c>
      <c r="X18" s="3565" t="s">
        <v>3525</v>
      </c>
      <c r="Y18" s="3563">
        <f t="shared" si="0"/>
        <v>0</v>
      </c>
    </row>
    <row r="19" spans="1:25" ht="24.95" customHeight="1">
      <c r="A19" s="3564">
        <v>10</v>
      </c>
      <c r="C19" s="3575" t="s">
        <v>3580</v>
      </c>
      <c r="D19" s="3576" t="s">
        <v>3581</v>
      </c>
      <c r="E19" s="3576" t="s">
        <v>3574</v>
      </c>
      <c r="F19" s="3602" t="s">
        <v>3575</v>
      </c>
      <c r="G19" s="3561">
        <v>6</v>
      </c>
      <c r="H19" s="3556">
        <v>6.94</v>
      </c>
      <c r="I19" s="3578" t="s">
        <v>3582</v>
      </c>
      <c r="J19" s="3599">
        <v>1250</v>
      </c>
      <c r="K19" s="3600" t="s">
        <v>3583</v>
      </c>
      <c r="L19" s="3561" t="s">
        <v>3578</v>
      </c>
      <c r="M19" s="3578">
        <v>45122</v>
      </c>
      <c r="N19" s="3581" t="s">
        <v>3584</v>
      </c>
      <c r="O19" s="3561" t="s">
        <v>3547</v>
      </c>
      <c r="P19" s="3561" t="s">
        <v>3523</v>
      </c>
      <c r="Q19" s="3561" t="s">
        <v>3524</v>
      </c>
      <c r="R19" s="3599">
        <v>1250</v>
      </c>
      <c r="S19" s="3563"/>
      <c r="T19" s="3563"/>
      <c r="U19" s="3564">
        <v>0</v>
      </c>
      <c r="V19" s="3599">
        <v>1250</v>
      </c>
      <c r="W19" s="3563">
        <v>0</v>
      </c>
      <c r="X19" s="3565" t="s">
        <v>3525</v>
      </c>
      <c r="Y19" s="3563">
        <f t="shared" si="0"/>
        <v>0</v>
      </c>
    </row>
    <row r="20" spans="1:25" ht="24.95" customHeight="1">
      <c r="A20" s="3564">
        <v>11</v>
      </c>
      <c r="B20" s="3565"/>
      <c r="C20" s="3603"/>
      <c r="D20" s="3601" t="s">
        <v>3585</v>
      </c>
      <c r="E20" s="3576" t="s">
        <v>3563</v>
      </c>
      <c r="F20" s="3602" t="s">
        <v>3575</v>
      </c>
      <c r="G20" s="3561">
        <v>25</v>
      </c>
      <c r="H20" s="3556">
        <v>3.3</v>
      </c>
      <c r="I20" s="3578" t="s">
        <v>3586</v>
      </c>
      <c r="J20" s="3599">
        <v>2500</v>
      </c>
      <c r="K20" s="3561" t="s">
        <v>3587</v>
      </c>
      <c r="L20" s="3561" t="s">
        <v>3532</v>
      </c>
      <c r="M20" s="3578">
        <v>43428</v>
      </c>
      <c r="N20" s="3581" t="s">
        <v>3588</v>
      </c>
      <c r="O20" s="3561" t="s">
        <v>3485</v>
      </c>
      <c r="P20" s="3561" t="s">
        <v>3523</v>
      </c>
      <c r="Q20" s="3561" t="s">
        <v>3524</v>
      </c>
      <c r="R20" s="3599">
        <v>2500</v>
      </c>
      <c r="S20" s="3563"/>
      <c r="T20" s="3563"/>
      <c r="U20" s="3564">
        <v>0</v>
      </c>
      <c r="V20" s="3599">
        <v>2500</v>
      </c>
      <c r="W20" s="3563">
        <v>0</v>
      </c>
      <c r="X20" s="3565" t="s">
        <v>3525</v>
      </c>
      <c r="Y20" s="3563">
        <f t="shared" si="0"/>
        <v>0</v>
      </c>
    </row>
    <row r="21" spans="1:25" ht="24.95" customHeight="1">
      <c r="A21" s="3536" t="s">
        <v>3589</v>
      </c>
      <c r="J21" s="3609">
        <f>SUM(J8:J20)</f>
        <v>348684.96</v>
      </c>
      <c r="O21" s="3604"/>
      <c r="P21" s="3605"/>
    </row>
    <row r="22" spans="1:25" ht="24.95" customHeight="1">
      <c r="A22" s="3606" t="s">
        <v>3590</v>
      </c>
      <c r="B22" s="3606"/>
      <c r="C22" s="3606"/>
      <c r="D22" s="3606"/>
      <c r="E22" s="3606"/>
      <c r="F22" s="3606"/>
      <c r="G22" s="3606"/>
      <c r="H22" s="3606"/>
      <c r="I22" s="3606"/>
      <c r="J22" s="3606">
        <f>J21*12</f>
        <v>4184219.5200000005</v>
      </c>
      <c r="K22" s="3606"/>
      <c r="L22" s="3606"/>
      <c r="M22" s="3606"/>
      <c r="N22" s="3606"/>
      <c r="O22" s="3606"/>
      <c r="P22" s="3606"/>
      <c r="Q22" s="3606"/>
      <c r="R22" s="3606"/>
      <c r="S22" s="3606"/>
      <c r="T22" s="3606"/>
      <c r="U22" s="3606"/>
      <c r="V22" s="3606"/>
      <c r="W22" s="3606"/>
      <c r="X22" s="3606"/>
    </row>
    <row r="23" spans="1:25" ht="24.95" customHeight="1">
      <c r="A23" s="3607" t="s">
        <v>3591</v>
      </c>
      <c r="B23" s="3607"/>
      <c r="C23" s="3607"/>
      <c r="D23" s="3607"/>
      <c r="E23" s="3607"/>
      <c r="F23" s="3607"/>
      <c r="G23" s="3607"/>
      <c r="H23" s="3607"/>
      <c r="I23" s="3607"/>
      <c r="J23" s="3607"/>
      <c r="K23" s="3607"/>
      <c r="L23" s="3607"/>
      <c r="M23" s="3607"/>
      <c r="N23" s="3607"/>
      <c r="O23" s="3607"/>
      <c r="P23" s="3607"/>
      <c r="Q23" s="3607"/>
      <c r="R23" s="3607"/>
      <c r="S23" s="3607"/>
      <c r="T23" s="3607"/>
      <c r="U23" s="3607"/>
      <c r="V23" s="3607"/>
      <c r="W23" s="3607"/>
      <c r="X23" s="3607"/>
    </row>
    <row r="24" spans="1:25" ht="24.95" customHeight="1">
      <c r="A24" s="3607" t="s">
        <v>3592</v>
      </c>
      <c r="B24" s="3607"/>
      <c r="C24" s="3607"/>
      <c r="D24" s="3607"/>
      <c r="E24" s="3607"/>
      <c r="F24" s="3607"/>
      <c r="G24" s="3607"/>
      <c r="H24" s="3607"/>
      <c r="I24" s="3607"/>
      <c r="J24" s="3607"/>
      <c r="K24" s="3607"/>
      <c r="L24" s="3607"/>
      <c r="M24" s="3607"/>
      <c r="N24" s="3607"/>
      <c r="O24" s="3607"/>
      <c r="P24" s="3607"/>
      <c r="Q24" s="3607"/>
      <c r="R24" s="3607"/>
      <c r="S24" s="3607"/>
      <c r="T24" s="3607"/>
      <c r="U24" s="3607"/>
      <c r="V24" s="3607"/>
      <c r="W24" s="3607"/>
      <c r="X24" s="3607"/>
    </row>
    <row r="25" spans="1:25" ht="24.95" customHeight="1">
      <c r="A25" s="3607" t="s">
        <v>3593</v>
      </c>
      <c r="B25" s="3607"/>
      <c r="C25" s="3607"/>
      <c r="D25" s="3607"/>
      <c r="E25" s="3607"/>
      <c r="F25" s="3607"/>
      <c r="G25" s="3607"/>
      <c r="H25" s="3607"/>
      <c r="I25" s="3607"/>
      <c r="J25" s="3607"/>
      <c r="K25" s="3607"/>
      <c r="L25" s="3607"/>
      <c r="M25" s="3607"/>
      <c r="N25" s="3607"/>
      <c r="O25" s="3607"/>
      <c r="P25" s="3607"/>
      <c r="Q25" s="3607"/>
      <c r="R25" s="3607"/>
      <c r="S25" s="3607"/>
      <c r="T25" s="3607"/>
      <c r="U25" s="3607"/>
      <c r="V25" s="3607"/>
      <c r="W25" s="3607"/>
      <c r="X25" s="3607"/>
    </row>
    <row r="26" spans="1:25" ht="24.95" customHeight="1">
      <c r="A26" s="3607" t="s">
        <v>3594</v>
      </c>
      <c r="B26" s="3607"/>
      <c r="C26" s="3607"/>
      <c r="D26" s="3607"/>
      <c r="E26" s="3607"/>
      <c r="F26" s="3607"/>
      <c r="G26" s="3607"/>
      <c r="H26" s="3607"/>
      <c r="I26" s="3607"/>
      <c r="J26" s="3607"/>
      <c r="K26" s="3607"/>
      <c r="L26" s="3607"/>
      <c r="M26" s="3607"/>
      <c r="N26" s="3607"/>
      <c r="O26" s="3607"/>
      <c r="P26" s="3607"/>
      <c r="Q26" s="3607"/>
      <c r="R26" s="3607"/>
      <c r="S26" s="3607"/>
      <c r="T26" s="3607"/>
      <c r="U26" s="3607"/>
      <c r="V26" s="3607"/>
      <c r="W26" s="3607"/>
      <c r="X26" s="3607"/>
    </row>
    <row r="45" spans="4:9" ht="24.95" customHeight="1">
      <c r="D45" s="3608"/>
      <c r="E45" s="3608"/>
      <c r="F45" s="3608"/>
      <c r="G45" s="3608"/>
      <c r="H45" s="3608"/>
      <c r="I45" s="3608"/>
    </row>
  </sheetData>
  <mergeCells count="45">
    <mergeCell ref="V12:V13"/>
    <mergeCell ref="A23:X23"/>
    <mergeCell ref="A24:X24"/>
    <mergeCell ref="A25:X25"/>
    <mergeCell ref="A26:X26"/>
    <mergeCell ref="D45:I45"/>
    <mergeCell ref="L12:L13"/>
    <mergeCell ref="M12:M13"/>
    <mergeCell ref="N12:N13"/>
    <mergeCell ref="O12:O13"/>
    <mergeCell ref="P12:P13"/>
    <mergeCell ref="R12:R13"/>
    <mergeCell ref="V8:V9"/>
    <mergeCell ref="A12:A13"/>
    <mergeCell ref="B12:B13"/>
    <mergeCell ref="C12:C13"/>
    <mergeCell ref="D12:D13"/>
    <mergeCell ref="E12:E13"/>
    <mergeCell ref="F12:F13"/>
    <mergeCell ref="I12:I13"/>
    <mergeCell ref="J12:J13"/>
    <mergeCell ref="K12:K13"/>
    <mergeCell ref="L8:L9"/>
    <mergeCell ref="M8:M9"/>
    <mergeCell ref="N8:N9"/>
    <mergeCell ref="O8:O9"/>
    <mergeCell ref="P8:P9"/>
    <mergeCell ref="R8:R9"/>
    <mergeCell ref="A6:X6"/>
    <mergeCell ref="A8:A9"/>
    <mergeCell ref="B8:B9"/>
    <mergeCell ref="C8:C9"/>
    <mergeCell ref="D8:D9"/>
    <mergeCell ref="E8:E9"/>
    <mergeCell ref="F8:F9"/>
    <mergeCell ref="I8:I9"/>
    <mergeCell ref="J8:J9"/>
    <mergeCell ref="K8:K9"/>
    <mergeCell ref="A1:X1"/>
    <mergeCell ref="A3:X3"/>
    <mergeCell ref="A4:B4"/>
    <mergeCell ref="C4:G4"/>
    <mergeCell ref="H4:R4"/>
    <mergeCell ref="A5:H5"/>
    <mergeCell ref="J5:R5"/>
  </mergeCells>
  <phoneticPr fontId="134" type="noConversion"/>
  <pageMargins left="0.69930555555555596" right="0.69930555555555596" top="0.75" bottom="0.75" header="0.3" footer="0.3"/>
  <pageSetup paperSize="9" orientation="portrait"/>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6" t="s">
        <v>694</v>
      </c>
      <c r="C6" s="1011">
        <f ca="1">ROUND(F6*F8*F7*(1-F9),0)</f>
        <v>0</v>
      </c>
      <c r="D6" s="147" t="s">
        <v>2106</v>
      </c>
      <c r="E6" s="294" t="s">
        <v>696</v>
      </c>
      <c r="F6" s="295">
        <f ca="1">INDIRECT("'数据-取费表'!u"&amp;$G$1)</f>
        <v>0</v>
      </c>
      <c r="G6" s="1292"/>
      <c r="H6" s="1006" t="s">
        <v>398</v>
      </c>
      <c r="I6" s="3396" t="s">
        <v>694</v>
      </c>
      <c r="J6" s="293">
        <f ca="1">ROUND(M6*M8*M7*(1-M9),0)</f>
        <v>0</v>
      </c>
      <c r="K6" s="1284" t="s">
        <v>2107</v>
      </c>
      <c r="L6" s="294" t="s">
        <v>696</v>
      </c>
      <c r="M6" s="295">
        <f ca="1">INDIRECT("'数据-取费表'!z"&amp;$G$1)</f>
        <v>0</v>
      </c>
    </row>
    <row r="7" spans="1:37" ht="18" customHeight="1">
      <c r="A7" s="1010"/>
      <c r="B7" s="3397"/>
      <c r="C7" s="1012"/>
      <c r="D7" s="299"/>
      <c r="E7" s="1013" t="s">
        <v>697</v>
      </c>
      <c r="F7" s="295">
        <f ca="1">IF(INDIRECT("'数据-取费表'!ah"&amp;$G$1)="",INDIRECT("'数据-取费表'!k"&amp;$G$1),INDIRECT("'数据-取费表'!ah"&amp;$G$1))</f>
        <v>0</v>
      </c>
      <c r="G7" s="1292"/>
      <c r="H7" s="296"/>
      <c r="I7" s="3397"/>
      <c r="J7" s="298"/>
      <c r="K7" s="299"/>
      <c r="L7" s="294" t="s">
        <v>697</v>
      </c>
      <c r="M7" s="295">
        <f ca="1">F7</f>
        <v>0</v>
      </c>
    </row>
    <row r="8" spans="1:37" ht="18" customHeight="1">
      <c r="A8" s="296"/>
      <c r="B8" s="3397"/>
      <c r="C8" s="298"/>
      <c r="D8" s="299"/>
      <c r="E8" s="294" t="s">
        <v>698</v>
      </c>
      <c r="F8" s="295">
        <f ca="1">INDIRECT("'数据-取费表'!ai"&amp;$G$1)</f>
        <v>0</v>
      </c>
      <c r="G8" s="1292"/>
      <c r="H8" s="296"/>
      <c r="I8" s="3397"/>
      <c r="J8" s="298"/>
      <c r="K8" s="299"/>
      <c r="L8" s="294" t="s">
        <v>698</v>
      </c>
      <c r="M8" s="295">
        <f ca="1">INDIRECT("'数据-取费表'!ai"&amp;$G$1)</f>
        <v>0</v>
      </c>
    </row>
    <row r="9" spans="1:37" ht="18" customHeight="1">
      <c r="A9" s="296"/>
      <c r="B9" s="3398"/>
      <c r="C9" s="298"/>
      <c r="D9" s="299"/>
      <c r="E9" s="294" t="s">
        <v>699</v>
      </c>
      <c r="F9" s="304">
        <f ca="1">INDIRECT("'数据-取费表'!w"&amp;$G$1)</f>
        <v>0</v>
      </c>
      <c r="G9" s="1292"/>
      <c r="H9" s="296"/>
      <c r="I9" s="339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94" t="s">
        <v>837</v>
      </c>
      <c r="L53" s="339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估价对象为北京市房地产，为所有。根据《国有土地使用证》[]，估价对象（分摊）出让国有建设用地使用权面积为0平方米，建筑面积为8789.66平方米。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估价对象为北京市房地产,属开发建设的，该项目尚在开发建设中。根据《国有土地使用证》[]，估价对象（分摊）出让国有建设用地使用权面积为0平方米，规划建筑面积为8789.66平方米。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10446</v>
      </c>
      <c r="C2" s="1729" t="s">
        <v>1651</v>
      </c>
      <c r="D2" s="1730" t="s">
        <v>1652</v>
      </c>
      <c r="E2" s="2393">
        <f>SUM(E6:E13)</f>
        <v>8789.66</v>
      </c>
      <c r="F2" s="2480"/>
      <c r="G2" s="459"/>
      <c r="H2" s="459"/>
      <c r="I2" s="459"/>
      <c r="J2" s="459"/>
      <c r="K2" s="459"/>
      <c r="L2" s="459"/>
      <c r="M2" s="459"/>
      <c r="N2" s="459"/>
      <c r="O2" s="459"/>
      <c r="P2" s="459"/>
      <c r="Q2" s="459"/>
      <c r="R2" s="459"/>
      <c r="S2" s="459"/>
    </row>
    <row r="3" spans="1:22" ht="15.75">
      <c r="A3" s="1728" t="s">
        <v>686</v>
      </c>
      <c r="B3" s="2387">
        <f ca="1">ROUND(B2*10000/E2,0)</f>
        <v>11884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9" t="s">
        <v>1654</v>
      </c>
      <c r="C5" s="340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10446</v>
      </c>
      <c r="C6" s="1729" t="s">
        <v>1651</v>
      </c>
      <c r="D6" s="2480"/>
      <c r="E6" s="2392">
        <f>IF(OR(A6=0,F6="否"),0,'数据-取费表'!K6+'数据-取费表'!S6)</f>
        <v>8789.66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8789.66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9" t="s">
        <v>1667</v>
      </c>
      <c r="D4" s="3420"/>
      <c r="E4" s="3421" t="s">
        <v>1668</v>
      </c>
      <c r="F4" s="3422"/>
      <c r="G4" s="3419" t="s">
        <v>1669</v>
      </c>
      <c r="H4" s="3420"/>
      <c r="I4" s="3419" t="s">
        <v>1670</v>
      </c>
      <c r="J4" s="3420"/>
      <c r="K4" s="1744" t="s">
        <v>1671</v>
      </c>
      <c r="L4" s="2487"/>
      <c r="M4" s="2488"/>
      <c r="N4" s="2488"/>
      <c r="O4" s="2488"/>
      <c r="P4" s="3423" t="s">
        <v>1672</v>
      </c>
      <c r="Q4" s="3424"/>
      <c r="R4" s="3406" t="s">
        <v>1668</v>
      </c>
      <c r="S4" s="3407"/>
      <c r="T4" s="3406" t="s">
        <v>1669</v>
      </c>
      <c r="U4" s="3407"/>
      <c r="V4" s="3431" t="s">
        <v>1670</v>
      </c>
      <c r="W4" s="3431"/>
      <c r="X4" s="1265"/>
      <c r="Y4" s="3406" t="s">
        <v>1672</v>
      </c>
      <c r="Z4" s="3407"/>
      <c r="AA4" s="3401" t="s">
        <v>1668</v>
      </c>
      <c r="AB4" s="3401" t="s">
        <v>1669</v>
      </c>
      <c r="AC4" s="3401" t="s">
        <v>1670</v>
      </c>
    </row>
    <row r="5" spans="1:29" ht="15">
      <c r="A5" s="348"/>
      <c r="B5" s="349"/>
      <c r="C5" s="3412" t="s">
        <v>1673</v>
      </c>
      <c r="D5" s="3413"/>
      <c r="E5" s="3410" t="s">
        <v>1674</v>
      </c>
      <c r="F5" s="3411"/>
      <c r="G5" s="3412" t="s">
        <v>1675</v>
      </c>
      <c r="H5" s="3413"/>
      <c r="I5" s="3412" t="s">
        <v>1676</v>
      </c>
      <c r="J5" s="3413"/>
      <c r="K5" s="1745"/>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1745"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45862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4" t="s">
        <v>1680</v>
      </c>
      <c r="Q7" s="3432"/>
      <c r="R7" s="664" t="s">
        <v>20</v>
      </c>
      <c r="S7" s="665">
        <f t="shared" ref="S7:S15" si="0">F7</f>
        <v>0</v>
      </c>
      <c r="T7" s="664" t="s">
        <v>20</v>
      </c>
      <c r="U7" s="665">
        <f t="shared" ref="U7:U15" si="1">H7</f>
        <v>0</v>
      </c>
      <c r="V7" s="664" t="s">
        <v>20</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4" t="s">
        <v>1683</v>
      </c>
      <c r="Q8" s="3405"/>
      <c r="R8" s="664" t="s">
        <v>20</v>
      </c>
      <c r="S8" s="665">
        <f t="shared" si="0"/>
        <v>100</v>
      </c>
      <c r="T8" s="664" t="s">
        <v>20</v>
      </c>
      <c r="U8" s="665">
        <f t="shared" si="1"/>
        <v>100</v>
      </c>
      <c r="V8" s="664" t="s">
        <v>20</v>
      </c>
      <c r="W8" s="665">
        <f t="shared" si="2"/>
        <v>100</v>
      </c>
      <c r="X8" s="666"/>
      <c r="Y8" s="3404" t="s">
        <v>1683</v>
      </c>
      <c r="Z8" s="340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8"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8"/>
      <c r="Q11" s="530" t="str">
        <f t="shared" si="6"/>
        <v>容积率</v>
      </c>
      <c r="R11" s="664" t="s">
        <v>18</v>
      </c>
      <c r="S11" s="665" t="e">
        <f t="shared" si="0"/>
        <v>#N/A</v>
      </c>
      <c r="T11" s="664" t="s">
        <v>18</v>
      </c>
      <c r="U11" s="665" t="e">
        <f t="shared" si="1"/>
        <v>#N/A</v>
      </c>
      <c r="V11" s="664" t="s">
        <v>18</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8"/>
      <c r="Q12" s="530">
        <f t="shared" si="6"/>
        <v>111</v>
      </c>
      <c r="R12" s="664" t="s">
        <v>18</v>
      </c>
      <c r="S12" s="665">
        <f t="shared" si="0"/>
        <v>100</v>
      </c>
      <c r="T12" s="664" t="s">
        <v>18</v>
      </c>
      <c r="U12" s="665">
        <f t="shared" si="1"/>
        <v>100</v>
      </c>
      <c r="V12" s="664" t="s">
        <v>18</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8"/>
      <c r="Q13" s="530">
        <f t="shared" si="6"/>
        <v>111</v>
      </c>
      <c r="R13" s="664" t="s">
        <v>18</v>
      </c>
      <c r="S13" s="665">
        <f t="shared" si="0"/>
        <v>100</v>
      </c>
      <c r="T13" s="664" t="s">
        <v>18</v>
      </c>
      <c r="U13" s="665">
        <f t="shared" si="1"/>
        <v>100</v>
      </c>
      <c r="V13" s="664" t="s">
        <v>18</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8"/>
      <c r="Q14" s="530">
        <f t="shared" si="6"/>
        <v>111</v>
      </c>
      <c r="R14" s="664" t="s">
        <v>18</v>
      </c>
      <c r="S14" s="665">
        <f t="shared" si="0"/>
        <v>100</v>
      </c>
      <c r="T14" s="664" t="s">
        <v>18</v>
      </c>
      <c r="U14" s="665">
        <f t="shared" si="1"/>
        <v>100</v>
      </c>
      <c r="V14" s="664" t="s">
        <v>18</v>
      </c>
      <c r="W14" s="665">
        <f t="shared" si="2"/>
        <v>100</v>
      </c>
      <c r="X14" s="666"/>
      <c r="Y14" s="332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4" t="s">
        <v>1691</v>
      </c>
      <c r="Q15" s="1263" t="str">
        <f t="shared" si="6"/>
        <v>居住社区成熟度</v>
      </c>
      <c r="R15" s="667" t="s">
        <v>18</v>
      </c>
      <c r="S15" s="668">
        <f t="shared" si="0"/>
        <v>100</v>
      </c>
      <c r="T15" s="667" t="s">
        <v>18</v>
      </c>
      <c r="U15" s="668">
        <f t="shared" si="1"/>
        <v>100</v>
      </c>
      <c r="V15" s="667" t="s">
        <v>18</v>
      </c>
      <c r="W15" s="668">
        <f t="shared" si="2"/>
        <v>100</v>
      </c>
      <c r="X15" s="1265"/>
      <c r="Y15" s="343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5"/>
      <c r="Q16" s="1263"/>
      <c r="R16" s="667"/>
      <c r="S16" s="668"/>
      <c r="T16" s="667"/>
      <c r="U16" s="668"/>
      <c r="V16" s="667"/>
      <c r="W16" s="668"/>
      <c r="X16" s="1265"/>
      <c r="Y16" s="343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5"/>
      <c r="Q17" s="1263" t="str">
        <f>B17</f>
        <v>交通便捷度</v>
      </c>
      <c r="R17" s="667" t="s">
        <v>18</v>
      </c>
      <c r="S17" s="668">
        <f>F17</f>
        <v>100</v>
      </c>
      <c r="T17" s="667" t="s">
        <v>18</v>
      </c>
      <c r="U17" s="668">
        <f>H17</f>
        <v>100</v>
      </c>
      <c r="V17" s="667" t="s">
        <v>18</v>
      </c>
      <c r="W17" s="668">
        <f>J17</f>
        <v>100</v>
      </c>
      <c r="X17" s="1265"/>
      <c r="Y17" s="343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5"/>
      <c r="Q18" s="1263"/>
      <c r="R18" s="667"/>
      <c r="S18" s="668"/>
      <c r="T18" s="667"/>
      <c r="U18" s="668"/>
      <c r="V18" s="667"/>
      <c r="W18" s="668"/>
      <c r="X18" s="1265"/>
      <c r="Y18" s="343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5"/>
      <c r="Q19" s="1263" t="str">
        <f>B19</f>
        <v>公共配套设施</v>
      </c>
      <c r="R19" s="667" t="s">
        <v>18</v>
      </c>
      <c r="S19" s="668">
        <f>F19</f>
        <v>100</v>
      </c>
      <c r="T19" s="667" t="s">
        <v>18</v>
      </c>
      <c r="U19" s="668">
        <f>H19</f>
        <v>100</v>
      </c>
      <c r="V19" s="667" t="s">
        <v>18</v>
      </c>
      <c r="W19" s="668">
        <f>J19</f>
        <v>100</v>
      </c>
      <c r="X19" s="1265"/>
      <c r="Y19" s="343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5"/>
      <c r="Q20" s="1263"/>
      <c r="R20" s="667"/>
      <c r="S20" s="668"/>
      <c r="T20" s="667"/>
      <c r="U20" s="668"/>
      <c r="V20" s="667"/>
      <c r="W20" s="668"/>
      <c r="X20" s="1265"/>
      <c r="Y20" s="343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5"/>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5"/>
      <c r="Q22" s="1263"/>
      <c r="R22" s="667"/>
      <c r="S22" s="668"/>
      <c r="T22" s="667"/>
      <c r="U22" s="668"/>
      <c r="V22" s="667"/>
      <c r="W22" s="668"/>
      <c r="X22" s="1265"/>
      <c r="Y22" s="343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5"/>
      <c r="Q23" s="1263" t="str">
        <f>B23</f>
        <v>自然及人文环境</v>
      </c>
      <c r="R23" s="667" t="s">
        <v>18</v>
      </c>
      <c r="S23" s="668">
        <f>F23</f>
        <v>100</v>
      </c>
      <c r="T23" s="667" t="s">
        <v>18</v>
      </c>
      <c r="U23" s="668">
        <f>H23</f>
        <v>100</v>
      </c>
      <c r="V23" s="667" t="s">
        <v>18</v>
      </c>
      <c r="W23" s="668">
        <f>J23</f>
        <v>100</v>
      </c>
      <c r="X23" s="1265"/>
      <c r="Y23" s="343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5"/>
      <c r="Q24" s="1263"/>
      <c r="R24" s="667"/>
      <c r="S24" s="668"/>
      <c r="T24" s="667"/>
      <c r="U24" s="668"/>
      <c r="V24" s="667"/>
      <c r="W24" s="668"/>
      <c r="X24" s="1265"/>
      <c r="Y24" s="343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5"/>
      <c r="Q26" s="1263" t="str">
        <f t="shared" si="11"/>
        <v>朝向</v>
      </c>
      <c r="R26" s="667" t="s">
        <v>18</v>
      </c>
      <c r="S26" s="668">
        <f t="shared" si="12"/>
        <v>100</v>
      </c>
      <c r="T26" s="667" t="s">
        <v>18</v>
      </c>
      <c r="U26" s="668">
        <f t="shared" si="13"/>
        <v>100</v>
      </c>
      <c r="V26" s="667" t="s">
        <v>18</v>
      </c>
      <c r="W26" s="668">
        <f t="shared" si="14"/>
        <v>100</v>
      </c>
      <c r="X26" s="1265"/>
      <c r="Y26" s="343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5"/>
      <c r="Q27" s="530">
        <f t="shared" si="11"/>
        <v>111</v>
      </c>
      <c r="R27" s="664" t="s">
        <v>18</v>
      </c>
      <c r="S27" s="665">
        <f t="shared" si="12"/>
        <v>100</v>
      </c>
      <c r="T27" s="664" t="s">
        <v>18</v>
      </c>
      <c r="U27" s="665">
        <f t="shared" si="13"/>
        <v>100</v>
      </c>
      <c r="V27" s="664" t="s">
        <v>18</v>
      </c>
      <c r="W27" s="665">
        <f t="shared" si="14"/>
        <v>100</v>
      </c>
      <c r="X27" s="666"/>
      <c r="Y27" s="343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5"/>
      <c r="Q28" s="1263">
        <f t="shared" si="11"/>
        <v>111</v>
      </c>
      <c r="R28" s="667" t="s">
        <v>18</v>
      </c>
      <c r="S28" s="668">
        <f t="shared" si="12"/>
        <v>100</v>
      </c>
      <c r="T28" s="667" t="s">
        <v>18</v>
      </c>
      <c r="U28" s="668">
        <f t="shared" si="13"/>
        <v>100</v>
      </c>
      <c r="V28" s="667" t="s">
        <v>18</v>
      </c>
      <c r="W28" s="668">
        <f t="shared" si="14"/>
        <v>100</v>
      </c>
      <c r="X28" s="1265"/>
      <c r="Y28" s="343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5"/>
      <c r="Q29" s="1263">
        <f t="shared" si="11"/>
        <v>111</v>
      </c>
      <c r="R29" s="667" t="s">
        <v>18</v>
      </c>
      <c r="S29" s="668">
        <f t="shared" si="12"/>
        <v>100</v>
      </c>
      <c r="T29" s="667" t="s">
        <v>18</v>
      </c>
      <c r="U29" s="668">
        <f t="shared" si="13"/>
        <v>100</v>
      </c>
      <c r="V29" s="667" t="s">
        <v>18</v>
      </c>
      <c r="W29" s="668">
        <f t="shared" si="14"/>
        <v>100</v>
      </c>
      <c r="X29" s="1265"/>
      <c r="Y29" s="343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5"/>
      <c r="Q30" s="1263">
        <f t="shared" si="11"/>
        <v>111</v>
      </c>
      <c r="R30" s="667" t="s">
        <v>18</v>
      </c>
      <c r="S30" s="668">
        <f t="shared" si="12"/>
        <v>100</v>
      </c>
      <c r="T30" s="667" t="s">
        <v>18</v>
      </c>
      <c r="U30" s="668">
        <f t="shared" si="13"/>
        <v>100</v>
      </c>
      <c r="V30" s="667" t="s">
        <v>18</v>
      </c>
      <c r="W30" s="668">
        <f t="shared" si="14"/>
        <v>100</v>
      </c>
      <c r="X30" s="1265"/>
      <c r="Y30" s="343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5"/>
      <c r="Q31" s="1263">
        <f t="shared" si="11"/>
        <v>111</v>
      </c>
      <c r="R31" s="667" t="s">
        <v>18</v>
      </c>
      <c r="S31" s="668">
        <f t="shared" si="12"/>
        <v>100</v>
      </c>
      <c r="T31" s="667" t="s">
        <v>18</v>
      </c>
      <c r="U31" s="668">
        <f t="shared" si="13"/>
        <v>100</v>
      </c>
      <c r="V31" s="667" t="s">
        <v>18</v>
      </c>
      <c r="W31" s="668">
        <f t="shared" si="14"/>
        <v>100</v>
      </c>
      <c r="X31" s="1265"/>
      <c r="Y31" s="343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9" t="s">
        <v>1696</v>
      </c>
      <c r="Q32" s="1263" t="str">
        <f t="shared" si="11"/>
        <v>建筑类型</v>
      </c>
      <c r="R32" s="667" t="s">
        <v>18</v>
      </c>
      <c r="S32" s="668">
        <f t="shared" si="12"/>
        <v>100</v>
      </c>
      <c r="T32" s="667" t="s">
        <v>18</v>
      </c>
      <c r="U32" s="668">
        <f t="shared" si="13"/>
        <v>100</v>
      </c>
      <c r="V32" s="667" t="s">
        <v>18</v>
      </c>
      <c r="W32" s="668">
        <f t="shared" si="14"/>
        <v>100</v>
      </c>
      <c r="X32" s="1265"/>
      <c r="Y32" s="344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0"/>
      <c r="Q33" s="531" t="str">
        <f t="shared" si="11"/>
        <v>项目建筑规模</v>
      </c>
      <c r="R33" s="669" t="s">
        <v>18</v>
      </c>
      <c r="S33" s="670" t="e">
        <f t="shared" si="12"/>
        <v>#N/A</v>
      </c>
      <c r="T33" s="669" t="s">
        <v>18</v>
      </c>
      <c r="U33" s="670" t="e">
        <f t="shared" si="13"/>
        <v>#N/A</v>
      </c>
      <c r="V33" s="669" t="s">
        <v>18</v>
      </c>
      <c r="W33" s="670" t="e">
        <f t="shared" si="14"/>
        <v>#N/A</v>
      </c>
      <c r="X33" s="671"/>
      <c r="Y33" s="344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0"/>
      <c r="Q34" s="1263" t="str">
        <f t="shared" si="11"/>
        <v>建筑结构</v>
      </c>
      <c r="R34" s="667" t="s">
        <v>18</v>
      </c>
      <c r="S34" s="668">
        <f t="shared" si="12"/>
        <v>100</v>
      </c>
      <c r="T34" s="667" t="s">
        <v>18</v>
      </c>
      <c r="U34" s="668">
        <f t="shared" si="13"/>
        <v>100</v>
      </c>
      <c r="V34" s="667" t="s">
        <v>18</v>
      </c>
      <c r="W34" s="668">
        <f t="shared" si="14"/>
        <v>100</v>
      </c>
      <c r="X34" s="1265"/>
      <c r="Y34" s="344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0"/>
      <c r="Q35" s="1263" t="str">
        <f t="shared" si="11"/>
        <v>建筑品质</v>
      </c>
      <c r="R35" s="667" t="s">
        <v>18</v>
      </c>
      <c r="S35" s="668">
        <f t="shared" si="12"/>
        <v>100</v>
      </c>
      <c r="T35" s="667" t="s">
        <v>18</v>
      </c>
      <c r="U35" s="668">
        <f t="shared" si="13"/>
        <v>100</v>
      </c>
      <c r="V35" s="667" t="s">
        <v>18</v>
      </c>
      <c r="W35" s="668">
        <f t="shared" si="14"/>
        <v>100</v>
      </c>
      <c r="X35" s="1265"/>
      <c r="Y35" s="344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0"/>
      <c r="Q36" s="1263" t="str">
        <f t="shared" si="11"/>
        <v>公共部分装修</v>
      </c>
      <c r="R36" s="667" t="s">
        <v>18</v>
      </c>
      <c r="S36" s="668">
        <f t="shared" si="12"/>
        <v>100</v>
      </c>
      <c r="T36" s="667" t="s">
        <v>18</v>
      </c>
      <c r="U36" s="668">
        <f t="shared" si="13"/>
        <v>100</v>
      </c>
      <c r="V36" s="667" t="s">
        <v>18</v>
      </c>
      <c r="W36" s="668">
        <f t="shared" si="14"/>
        <v>100</v>
      </c>
      <c r="X36" s="1265"/>
      <c r="Y36" s="344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0"/>
      <c r="Q37" s="530" t="str">
        <f t="shared" si="11"/>
        <v>成新度</v>
      </c>
      <c r="R37" s="664" t="s">
        <v>18</v>
      </c>
      <c r="S37" s="665" t="e">
        <f t="shared" si="12"/>
        <v>#N/A</v>
      </c>
      <c r="T37" s="664" t="s">
        <v>18</v>
      </c>
      <c r="U37" s="665" t="e">
        <f t="shared" si="13"/>
        <v>#N/A</v>
      </c>
      <c r="V37" s="664" t="s">
        <v>18</v>
      </c>
      <c r="W37" s="665" t="e">
        <f t="shared" si="14"/>
        <v>#N/A</v>
      </c>
      <c r="X37" s="666"/>
      <c r="Y37" s="344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0" t="s">
        <v>1696</v>
      </c>
      <c r="Q38" s="1263" t="str">
        <f t="shared" si="11"/>
        <v>物业管理</v>
      </c>
      <c r="R38" s="667" t="s">
        <v>18</v>
      </c>
      <c r="S38" s="668">
        <f t="shared" si="12"/>
        <v>100</v>
      </c>
      <c r="T38" s="667" t="s">
        <v>18</v>
      </c>
      <c r="U38" s="668">
        <f t="shared" si="13"/>
        <v>100</v>
      </c>
      <c r="V38" s="667" t="s">
        <v>18</v>
      </c>
      <c r="W38" s="668">
        <f t="shared" si="14"/>
        <v>100</v>
      </c>
      <c r="X38" s="1265"/>
      <c r="Y38" s="344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0"/>
      <c r="Q39" s="1263" t="str">
        <f t="shared" si="11"/>
        <v>市政基础设施</v>
      </c>
      <c r="R39" s="667" t="s">
        <v>18</v>
      </c>
      <c r="S39" s="668">
        <f t="shared" si="12"/>
        <v>100</v>
      </c>
      <c r="T39" s="667" t="s">
        <v>18</v>
      </c>
      <c r="U39" s="668">
        <f t="shared" si="13"/>
        <v>100</v>
      </c>
      <c r="V39" s="667" t="s">
        <v>18</v>
      </c>
      <c r="W39" s="668">
        <f t="shared" si="14"/>
        <v>100</v>
      </c>
      <c r="X39" s="1265"/>
      <c r="Y39" s="344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0"/>
      <c r="Q40" s="1263" t="str">
        <f t="shared" si="11"/>
        <v>房型</v>
      </c>
      <c r="R40" s="667" t="s">
        <v>18</v>
      </c>
      <c r="S40" s="668">
        <f t="shared" si="12"/>
        <v>100</v>
      </c>
      <c r="T40" s="667" t="s">
        <v>18</v>
      </c>
      <c r="U40" s="668">
        <f t="shared" si="13"/>
        <v>100</v>
      </c>
      <c r="V40" s="667" t="s">
        <v>18</v>
      </c>
      <c r="W40" s="668">
        <f t="shared" si="14"/>
        <v>100</v>
      </c>
      <c r="X40" s="1265"/>
      <c r="Y40" s="344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0"/>
      <c r="Q41" s="531" t="str">
        <f t="shared" si="11"/>
        <v>单套/主力户型建筑面积</v>
      </c>
      <c r="R41" s="669" t="s">
        <v>18</v>
      </c>
      <c r="S41" s="670">
        <f t="shared" si="12"/>
        <v>100</v>
      </c>
      <c r="T41" s="669" t="s">
        <v>18</v>
      </c>
      <c r="U41" s="670">
        <f t="shared" si="13"/>
        <v>100</v>
      </c>
      <c r="V41" s="669" t="s">
        <v>18</v>
      </c>
      <c r="W41" s="670">
        <f t="shared" si="14"/>
        <v>100</v>
      </c>
      <c r="X41" s="671"/>
      <c r="Y41" s="344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0"/>
      <c r="Q42" s="1263" t="str">
        <f t="shared" si="11"/>
        <v>内部装修</v>
      </c>
      <c r="R42" s="667" t="s">
        <v>18</v>
      </c>
      <c r="S42" s="668">
        <f t="shared" si="12"/>
        <v>100</v>
      </c>
      <c r="T42" s="667" t="s">
        <v>18</v>
      </c>
      <c r="U42" s="668">
        <f t="shared" si="13"/>
        <v>100</v>
      </c>
      <c r="V42" s="667" t="s">
        <v>18</v>
      </c>
      <c r="W42" s="668">
        <f t="shared" si="14"/>
        <v>100</v>
      </c>
      <c r="X42" s="1265"/>
      <c r="Y42" s="344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0"/>
      <c r="Q43" s="1263" t="str">
        <f t="shared" si="11"/>
        <v>内部装修维护情况</v>
      </c>
      <c r="R43" s="667" t="s">
        <v>18</v>
      </c>
      <c r="S43" s="668">
        <f t="shared" si="12"/>
        <v>100</v>
      </c>
      <c r="T43" s="667" t="s">
        <v>18</v>
      </c>
      <c r="U43" s="668">
        <f t="shared" si="13"/>
        <v>100</v>
      </c>
      <c r="V43" s="667" t="s">
        <v>18</v>
      </c>
      <c r="W43" s="668">
        <f t="shared" si="14"/>
        <v>100</v>
      </c>
      <c r="X43" s="1265"/>
      <c r="Y43" s="344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0"/>
      <c r="Q44" s="530">
        <f t="shared" si="11"/>
        <v>111</v>
      </c>
      <c r="R44" s="664" t="s">
        <v>18</v>
      </c>
      <c r="S44" s="665">
        <f t="shared" si="12"/>
        <v>100</v>
      </c>
      <c r="T44" s="664" t="s">
        <v>18</v>
      </c>
      <c r="U44" s="665">
        <f t="shared" si="13"/>
        <v>100</v>
      </c>
      <c r="V44" s="664" t="s">
        <v>18</v>
      </c>
      <c r="W44" s="665">
        <f t="shared" si="14"/>
        <v>100</v>
      </c>
      <c r="X44" s="666"/>
      <c r="Y44" s="344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0"/>
      <c r="Q45" s="1263">
        <f t="shared" si="11"/>
        <v>111</v>
      </c>
      <c r="R45" s="667" t="s">
        <v>18</v>
      </c>
      <c r="S45" s="668">
        <f t="shared" si="12"/>
        <v>100</v>
      </c>
      <c r="T45" s="667" t="s">
        <v>18</v>
      </c>
      <c r="U45" s="668">
        <f t="shared" si="13"/>
        <v>100</v>
      </c>
      <c r="V45" s="667" t="s">
        <v>18</v>
      </c>
      <c r="W45" s="668">
        <f t="shared" si="14"/>
        <v>100</v>
      </c>
      <c r="X45" s="1265"/>
      <c r="Y45" s="344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1"/>
      <c r="Q46" s="1263">
        <f t="shared" si="11"/>
        <v>111</v>
      </c>
      <c r="R46" s="667" t="s">
        <v>17</v>
      </c>
      <c r="S46" s="668">
        <f t="shared" si="12"/>
        <v>100</v>
      </c>
      <c r="T46" s="667" t="s">
        <v>17</v>
      </c>
      <c r="U46" s="668">
        <f t="shared" si="13"/>
        <v>100</v>
      </c>
      <c r="V46" s="667" t="s">
        <v>17</v>
      </c>
      <c r="W46" s="668">
        <f t="shared" si="14"/>
        <v>100</v>
      </c>
      <c r="X46" s="1265"/>
      <c r="Y46" s="344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6" t="str">
        <f>A47</f>
        <v>成交单价（元/平方米）</v>
      </c>
      <c r="Q47" s="3436"/>
      <c r="R47" s="3431">
        <f>E47</f>
        <v>0</v>
      </c>
      <c r="S47" s="3431"/>
      <c r="T47" s="3431">
        <f>G47</f>
        <v>0</v>
      </c>
      <c r="U47" s="3431"/>
      <c r="V47" s="3431">
        <f>I47</f>
        <v>0</v>
      </c>
      <c r="W47" s="343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8789.66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31"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31"/>
      <c r="AC5" s="3402"/>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27"/>
      <c r="Q6" s="3428"/>
      <c r="R6" s="3408"/>
      <c r="S6" s="3409"/>
      <c r="T6" s="3429"/>
      <c r="U6" s="3430"/>
      <c r="V6" s="3431"/>
      <c r="W6" s="3431"/>
      <c r="X6" s="1265"/>
      <c r="Y6" s="3429"/>
      <c r="Z6" s="3430"/>
      <c r="AA6" s="3403"/>
      <c r="AB6" s="3431"/>
      <c r="AC6" s="3403"/>
    </row>
    <row r="7" spans="1:29" s="102" customFormat="1" ht="15.75" thickBot="1">
      <c r="A7" s="352" t="s">
        <v>1679</v>
      </c>
      <c r="B7" s="353"/>
      <c r="C7" s="354">
        <f>'数据-取费表'!B2</f>
        <v>45862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4" t="s">
        <v>1680</v>
      </c>
      <c r="Q7" s="3432"/>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8"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8"/>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8"/>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8"/>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8"/>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4" t="s">
        <v>1691</v>
      </c>
      <c r="Q15" s="1263" t="str">
        <f t="shared" si="6"/>
        <v>商业繁华度</v>
      </c>
      <c r="R15" s="667" t="s">
        <v>14</v>
      </c>
      <c r="S15" s="668">
        <f t="shared" si="0"/>
        <v>100</v>
      </c>
      <c r="T15" s="667" t="s">
        <v>14</v>
      </c>
      <c r="U15" s="668">
        <f t="shared" si="1"/>
        <v>100</v>
      </c>
      <c r="V15" s="667" t="s">
        <v>14</v>
      </c>
      <c r="W15" s="668">
        <f t="shared" si="2"/>
        <v>100</v>
      </c>
      <c r="X15" s="1265"/>
      <c r="Y15" s="343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5"/>
      <c r="Q16" s="1263"/>
      <c r="R16" s="667"/>
      <c r="S16" s="668"/>
      <c r="T16" s="667"/>
      <c r="U16" s="668"/>
      <c r="V16" s="667"/>
      <c r="W16" s="668"/>
      <c r="X16" s="1265"/>
      <c r="Y16" s="343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5"/>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5"/>
      <c r="Q18" s="1263"/>
      <c r="R18" s="667"/>
      <c r="S18" s="668"/>
      <c r="T18" s="667"/>
      <c r="U18" s="668"/>
      <c r="V18" s="667"/>
      <c r="W18" s="668"/>
      <c r="X18" s="1265"/>
      <c r="Y18" s="343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5"/>
      <c r="Q19" s="1263" t="str">
        <f>B19</f>
        <v>公共配套设施</v>
      </c>
      <c r="R19" s="667" t="s">
        <v>14</v>
      </c>
      <c r="S19" s="668">
        <f>F19</f>
        <v>100</v>
      </c>
      <c r="T19" s="667" t="s">
        <v>14</v>
      </c>
      <c r="U19" s="668">
        <f>H19</f>
        <v>100</v>
      </c>
      <c r="V19" s="667" t="s">
        <v>14</v>
      </c>
      <c r="W19" s="668">
        <f>J19</f>
        <v>100</v>
      </c>
      <c r="X19" s="1265"/>
      <c r="Y19" s="343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5"/>
      <c r="Q20" s="1263"/>
      <c r="R20" s="667"/>
      <c r="S20" s="668"/>
      <c r="T20" s="667"/>
      <c r="U20" s="668"/>
      <c r="V20" s="667"/>
      <c r="W20" s="668"/>
      <c r="X20" s="1265"/>
      <c r="Y20" s="343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5"/>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5"/>
      <c r="Q22" s="1263"/>
      <c r="R22" s="667"/>
      <c r="S22" s="668"/>
      <c r="T22" s="667"/>
      <c r="U22" s="668"/>
      <c r="V22" s="667"/>
      <c r="W22" s="668"/>
      <c r="X22" s="1265"/>
      <c r="Y22" s="343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5"/>
      <c r="Q23" s="1263" t="str">
        <f>B23</f>
        <v>自然及人文环境</v>
      </c>
      <c r="R23" s="667" t="s">
        <v>14</v>
      </c>
      <c r="S23" s="668">
        <f>F23</f>
        <v>100</v>
      </c>
      <c r="T23" s="667" t="s">
        <v>14</v>
      </c>
      <c r="U23" s="668">
        <f>H23</f>
        <v>100</v>
      </c>
      <c r="V23" s="667" t="s">
        <v>14</v>
      </c>
      <c r="W23" s="668">
        <f>J23</f>
        <v>100</v>
      </c>
      <c r="X23" s="1265"/>
      <c r="Y23" s="343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5"/>
      <c r="Q24" s="1263"/>
      <c r="R24" s="667"/>
      <c r="S24" s="668"/>
      <c r="T24" s="667"/>
      <c r="U24" s="668"/>
      <c r="V24" s="667"/>
      <c r="W24" s="668"/>
      <c r="X24" s="1265"/>
      <c r="Y24" s="343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5"/>
      <c r="Q25" s="1263" t="str">
        <f t="shared" ref="Q25:Q46" si="11">B25</f>
        <v>临街状况</v>
      </c>
      <c r="R25" s="667" t="s">
        <v>14</v>
      </c>
      <c r="S25" s="668">
        <f>F25</f>
        <v>100</v>
      </c>
      <c r="T25" s="667" t="s">
        <v>14</v>
      </c>
      <c r="U25" s="668">
        <f>H25</f>
        <v>100</v>
      </c>
      <c r="V25" s="667" t="s">
        <v>14</v>
      </c>
      <c r="W25" s="668">
        <f>J25</f>
        <v>100</v>
      </c>
      <c r="X25" s="1265"/>
      <c r="Y25" s="343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5"/>
      <c r="Q26" s="1263" t="str">
        <f t="shared" si="11"/>
        <v>平面位置/可视性</v>
      </c>
      <c r="R26" s="667" t="s">
        <v>14</v>
      </c>
      <c r="S26" s="668">
        <f>F26</f>
        <v>100</v>
      </c>
      <c r="T26" s="667" t="s">
        <v>14</v>
      </c>
      <c r="U26" s="668">
        <f>H26</f>
        <v>100</v>
      </c>
      <c r="V26" s="667" t="s">
        <v>14</v>
      </c>
      <c r="W26" s="668">
        <f>J26</f>
        <v>100</v>
      </c>
      <c r="X26" s="1265"/>
      <c r="Y26" s="343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5"/>
      <c r="Q27" s="530" t="str">
        <f t="shared" si="11"/>
        <v>人流量</v>
      </c>
      <c r="R27" s="664" t="s">
        <v>14</v>
      </c>
      <c r="S27" s="665">
        <f>F27</f>
        <v>100</v>
      </c>
      <c r="T27" s="664" t="s">
        <v>14</v>
      </c>
      <c r="U27" s="665">
        <f>H27</f>
        <v>100</v>
      </c>
      <c r="V27" s="664" t="s">
        <v>14</v>
      </c>
      <c r="W27" s="665">
        <f>J27</f>
        <v>100</v>
      </c>
      <c r="X27" s="666"/>
      <c r="Y27" s="343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5"/>
      <c r="Q29" s="1263">
        <f t="shared" si="11"/>
        <v>111</v>
      </c>
      <c r="R29" s="667" t="s">
        <v>14</v>
      </c>
      <c r="S29" s="668">
        <f t="shared" si="12"/>
        <v>100</v>
      </c>
      <c r="T29" s="667" t="s">
        <v>14</v>
      </c>
      <c r="U29" s="668">
        <f t="shared" si="13"/>
        <v>100</v>
      </c>
      <c r="V29" s="667" t="s">
        <v>14</v>
      </c>
      <c r="W29" s="668">
        <f t="shared" si="14"/>
        <v>100</v>
      </c>
      <c r="X29" s="1265"/>
      <c r="Y29" s="343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5"/>
      <c r="Q30" s="1263">
        <f t="shared" si="11"/>
        <v>111</v>
      </c>
      <c r="R30" s="667" t="s">
        <v>14</v>
      </c>
      <c r="S30" s="668">
        <f t="shared" si="12"/>
        <v>100</v>
      </c>
      <c r="T30" s="667" t="s">
        <v>14</v>
      </c>
      <c r="U30" s="668">
        <f t="shared" si="13"/>
        <v>100</v>
      </c>
      <c r="V30" s="667" t="s">
        <v>14</v>
      </c>
      <c r="W30" s="668">
        <f t="shared" si="14"/>
        <v>100</v>
      </c>
      <c r="X30" s="1265"/>
      <c r="Y30" s="343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5"/>
      <c r="Q31" s="1263">
        <f t="shared" si="11"/>
        <v>111</v>
      </c>
      <c r="R31" s="667" t="s">
        <v>14</v>
      </c>
      <c r="S31" s="668">
        <f t="shared" si="12"/>
        <v>100</v>
      </c>
      <c r="T31" s="667" t="s">
        <v>14</v>
      </c>
      <c r="U31" s="668">
        <f t="shared" si="13"/>
        <v>100</v>
      </c>
      <c r="V31" s="667" t="s">
        <v>14</v>
      </c>
      <c r="W31" s="668">
        <f t="shared" si="14"/>
        <v>100</v>
      </c>
      <c r="X31" s="1265"/>
      <c r="Y31" s="343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9" t="s">
        <v>1696</v>
      </c>
      <c r="Q32" s="1263" t="str">
        <f t="shared" si="11"/>
        <v>商业类型</v>
      </c>
      <c r="R32" s="667" t="s">
        <v>14</v>
      </c>
      <c r="S32" s="668">
        <f t="shared" si="12"/>
        <v>100</v>
      </c>
      <c r="T32" s="667" t="s">
        <v>14</v>
      </c>
      <c r="U32" s="668">
        <f t="shared" si="13"/>
        <v>100</v>
      </c>
      <c r="V32" s="667" t="s">
        <v>14</v>
      </c>
      <c r="W32" s="668">
        <f t="shared" si="14"/>
        <v>100</v>
      </c>
      <c r="X32" s="1265"/>
      <c r="Y32" s="344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0"/>
      <c r="Q33" s="531" t="str">
        <f t="shared" si="11"/>
        <v>项目建筑规模</v>
      </c>
      <c r="R33" s="669" t="s">
        <v>14</v>
      </c>
      <c r="S33" s="670" t="e">
        <f t="shared" si="12"/>
        <v>#N/A</v>
      </c>
      <c r="T33" s="669" t="s">
        <v>14</v>
      </c>
      <c r="U33" s="670" t="e">
        <f t="shared" si="13"/>
        <v>#N/A</v>
      </c>
      <c r="V33" s="669" t="s">
        <v>14</v>
      </c>
      <c r="W33" s="670" t="e">
        <f t="shared" si="14"/>
        <v>#N/A</v>
      </c>
      <c r="X33" s="671"/>
      <c r="Y33" s="344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0"/>
      <c r="Q34" s="1263" t="str">
        <f t="shared" si="11"/>
        <v>建筑结构</v>
      </c>
      <c r="R34" s="667" t="s">
        <v>14</v>
      </c>
      <c r="S34" s="668">
        <f t="shared" si="12"/>
        <v>100</v>
      </c>
      <c r="T34" s="667" t="s">
        <v>14</v>
      </c>
      <c r="U34" s="668">
        <f t="shared" si="13"/>
        <v>100</v>
      </c>
      <c r="V34" s="667" t="s">
        <v>14</v>
      </c>
      <c r="W34" s="668">
        <f t="shared" si="14"/>
        <v>100</v>
      </c>
      <c r="X34" s="1265"/>
      <c r="Y34" s="344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0"/>
      <c r="Q35" s="1263" t="str">
        <f t="shared" si="11"/>
        <v>公共部分装修</v>
      </c>
      <c r="R35" s="667" t="s">
        <v>14</v>
      </c>
      <c r="S35" s="668">
        <f t="shared" si="12"/>
        <v>100</v>
      </c>
      <c r="T35" s="667" t="s">
        <v>14</v>
      </c>
      <c r="U35" s="668">
        <f t="shared" si="13"/>
        <v>100</v>
      </c>
      <c r="V35" s="667" t="s">
        <v>14</v>
      </c>
      <c r="W35" s="668">
        <f t="shared" si="14"/>
        <v>100</v>
      </c>
      <c r="X35" s="1265"/>
      <c r="Y35" s="344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0"/>
      <c r="Q36" s="1263" t="str">
        <f t="shared" si="11"/>
        <v>成新度</v>
      </c>
      <c r="R36" s="667" t="s">
        <v>14</v>
      </c>
      <c r="S36" s="668" t="e">
        <f t="shared" si="12"/>
        <v>#N/A</v>
      </c>
      <c r="T36" s="667" t="s">
        <v>14</v>
      </c>
      <c r="U36" s="668" t="e">
        <f t="shared" si="13"/>
        <v>#N/A</v>
      </c>
      <c r="V36" s="667" t="s">
        <v>14</v>
      </c>
      <c r="W36" s="668" t="e">
        <f t="shared" si="14"/>
        <v>#N/A</v>
      </c>
      <c r="X36" s="1265"/>
      <c r="Y36" s="344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0"/>
      <c r="Q37" s="530" t="str">
        <f t="shared" si="11"/>
        <v>市政基础设施</v>
      </c>
      <c r="R37" s="664" t="s">
        <v>14</v>
      </c>
      <c r="S37" s="665">
        <f t="shared" si="12"/>
        <v>100</v>
      </c>
      <c r="T37" s="664" t="s">
        <v>14</v>
      </c>
      <c r="U37" s="665">
        <f t="shared" si="13"/>
        <v>100</v>
      </c>
      <c r="V37" s="664" t="s">
        <v>14</v>
      </c>
      <c r="W37" s="665">
        <f t="shared" si="14"/>
        <v>100</v>
      </c>
      <c r="X37" s="666"/>
      <c r="Y37" s="344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0" t="s">
        <v>1696</v>
      </c>
      <c r="Q38" s="1263" t="str">
        <f t="shared" si="11"/>
        <v>业态</v>
      </c>
      <c r="R38" s="667" t="s">
        <v>14</v>
      </c>
      <c r="S38" s="668">
        <f t="shared" si="12"/>
        <v>100</v>
      </c>
      <c r="T38" s="667" t="s">
        <v>14</v>
      </c>
      <c r="U38" s="668">
        <f t="shared" si="13"/>
        <v>100</v>
      </c>
      <c r="V38" s="667" t="s">
        <v>14</v>
      </c>
      <c r="W38" s="668">
        <f t="shared" si="14"/>
        <v>100</v>
      </c>
      <c r="X38" s="1265"/>
      <c r="Y38" s="344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0"/>
      <c r="Q39" s="1263" t="str">
        <f t="shared" si="11"/>
        <v>层高</v>
      </c>
      <c r="R39" s="667" t="s">
        <v>14</v>
      </c>
      <c r="S39" s="668">
        <f t="shared" si="12"/>
        <v>100</v>
      </c>
      <c r="T39" s="667" t="s">
        <v>14</v>
      </c>
      <c r="U39" s="668">
        <f t="shared" si="13"/>
        <v>100</v>
      </c>
      <c r="V39" s="667" t="s">
        <v>14</v>
      </c>
      <c r="W39" s="668">
        <f t="shared" si="14"/>
        <v>100</v>
      </c>
      <c r="X39" s="1265"/>
      <c r="Y39" s="344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0"/>
      <c r="Q40" s="1263" t="str">
        <f t="shared" si="11"/>
        <v>单套建筑面积</v>
      </c>
      <c r="R40" s="667" t="s">
        <v>14</v>
      </c>
      <c r="S40" s="668">
        <f t="shared" si="12"/>
        <v>100</v>
      </c>
      <c r="T40" s="667" t="s">
        <v>14</v>
      </c>
      <c r="U40" s="668">
        <f t="shared" si="13"/>
        <v>100</v>
      </c>
      <c r="V40" s="667" t="s">
        <v>14</v>
      </c>
      <c r="W40" s="668">
        <f t="shared" si="14"/>
        <v>100</v>
      </c>
      <c r="X40" s="1265"/>
      <c r="Y40" s="344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0"/>
      <c r="Q41" s="531" t="str">
        <f t="shared" si="11"/>
        <v>进深比</v>
      </c>
      <c r="R41" s="669" t="s">
        <v>14</v>
      </c>
      <c r="S41" s="670">
        <f t="shared" si="12"/>
        <v>100</v>
      </c>
      <c r="T41" s="669" t="s">
        <v>14</v>
      </c>
      <c r="U41" s="670">
        <f t="shared" si="13"/>
        <v>100</v>
      </c>
      <c r="V41" s="669" t="s">
        <v>14</v>
      </c>
      <c r="W41" s="670">
        <f t="shared" si="14"/>
        <v>100</v>
      </c>
      <c r="X41" s="671"/>
      <c r="Y41" s="344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0"/>
      <c r="Q42" s="1263" t="str">
        <f t="shared" si="11"/>
        <v>内部装修</v>
      </c>
      <c r="R42" s="667" t="s">
        <v>14</v>
      </c>
      <c r="S42" s="668">
        <f t="shared" si="12"/>
        <v>100</v>
      </c>
      <c r="T42" s="667" t="s">
        <v>14</v>
      </c>
      <c r="U42" s="668">
        <f t="shared" si="13"/>
        <v>100</v>
      </c>
      <c r="V42" s="667" t="s">
        <v>14</v>
      </c>
      <c r="W42" s="668">
        <f t="shared" si="14"/>
        <v>100</v>
      </c>
      <c r="X42" s="1265"/>
      <c r="Y42" s="344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0"/>
      <c r="Q43" s="1263" t="str">
        <f t="shared" si="11"/>
        <v>内部装修维护情况</v>
      </c>
      <c r="R43" s="667" t="s">
        <v>14</v>
      </c>
      <c r="S43" s="668">
        <f t="shared" si="12"/>
        <v>100</v>
      </c>
      <c r="T43" s="667" t="s">
        <v>14</v>
      </c>
      <c r="U43" s="668">
        <f t="shared" si="13"/>
        <v>100</v>
      </c>
      <c r="V43" s="667" t="s">
        <v>14</v>
      </c>
      <c r="W43" s="668">
        <f t="shared" si="14"/>
        <v>100</v>
      </c>
      <c r="X43" s="1265"/>
      <c r="Y43" s="344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0"/>
      <c r="Q44" s="530">
        <f t="shared" si="11"/>
        <v>111</v>
      </c>
      <c r="R44" s="664" t="s">
        <v>14</v>
      </c>
      <c r="S44" s="665">
        <f t="shared" si="12"/>
        <v>100</v>
      </c>
      <c r="T44" s="664" t="s">
        <v>14</v>
      </c>
      <c r="U44" s="665">
        <f t="shared" si="13"/>
        <v>100</v>
      </c>
      <c r="V44" s="664" t="s">
        <v>14</v>
      </c>
      <c r="W44" s="665">
        <f t="shared" si="14"/>
        <v>100</v>
      </c>
      <c r="X44" s="666"/>
      <c r="Y44" s="344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0"/>
      <c r="Q45" s="1263">
        <f t="shared" si="11"/>
        <v>111</v>
      </c>
      <c r="R45" s="667" t="s">
        <v>14</v>
      </c>
      <c r="S45" s="668">
        <f t="shared" si="12"/>
        <v>100</v>
      </c>
      <c r="T45" s="667" t="s">
        <v>14</v>
      </c>
      <c r="U45" s="668">
        <f t="shared" si="13"/>
        <v>100</v>
      </c>
      <c r="V45" s="667" t="s">
        <v>14</v>
      </c>
      <c r="W45" s="668">
        <f t="shared" si="14"/>
        <v>100</v>
      </c>
      <c r="X45" s="1265"/>
      <c r="Y45" s="344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1"/>
      <c r="Q46" s="1263">
        <f t="shared" si="11"/>
        <v>111</v>
      </c>
      <c r="R46" s="667" t="s">
        <v>14</v>
      </c>
      <c r="S46" s="668">
        <f t="shared" si="12"/>
        <v>100</v>
      </c>
      <c r="T46" s="667" t="s">
        <v>14</v>
      </c>
      <c r="U46" s="668">
        <f t="shared" si="13"/>
        <v>100</v>
      </c>
      <c r="V46" s="667" t="s">
        <v>14</v>
      </c>
      <c r="W46" s="668">
        <f t="shared" si="14"/>
        <v>100</v>
      </c>
      <c r="X46" s="1265"/>
      <c r="Y46" s="344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6" t="str">
        <f>A47</f>
        <v>成交单价（元/平方米）</v>
      </c>
      <c r="Q47" s="3436"/>
      <c r="R47" s="3431">
        <f>E47</f>
        <v>0</v>
      </c>
      <c r="S47" s="3431"/>
      <c r="T47" s="3431">
        <f>G47</f>
        <v>0</v>
      </c>
      <c r="U47" s="3431"/>
      <c r="V47" s="3431">
        <f>I47</f>
        <v>0</v>
      </c>
      <c r="W47" s="343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8789.66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52" t="s">
        <v>1775</v>
      </c>
      <c r="Q4" s="3453"/>
      <c r="R4" s="3447" t="s">
        <v>1771</v>
      </c>
      <c r="S4" s="3448"/>
      <c r="T4" s="3447" t="s">
        <v>1772</v>
      </c>
      <c r="U4" s="3448"/>
      <c r="V4" s="3456" t="s">
        <v>1773</v>
      </c>
      <c r="W4" s="3456"/>
      <c r="X4" s="1809"/>
      <c r="Y4" s="3447" t="s">
        <v>1775</v>
      </c>
      <c r="Z4" s="3448"/>
      <c r="AA4" s="3446" t="s">
        <v>1771</v>
      </c>
      <c r="AB4" s="3446" t="s">
        <v>1772</v>
      </c>
      <c r="AC4" s="3449" t="s">
        <v>1773</v>
      </c>
    </row>
    <row r="5" spans="1:29" ht="15">
      <c r="A5" s="348"/>
      <c r="B5" s="349"/>
      <c r="C5" s="3412" t="s">
        <v>1673</v>
      </c>
      <c r="D5" s="3413"/>
      <c r="E5" s="3410" t="s">
        <v>1674</v>
      </c>
      <c r="F5" s="3411"/>
      <c r="G5" s="3412" t="s">
        <v>1675</v>
      </c>
      <c r="H5" s="3413"/>
      <c r="I5" s="3412" t="s">
        <v>1676</v>
      </c>
      <c r="J5" s="3413"/>
      <c r="K5" s="537"/>
      <c r="L5" s="2487"/>
      <c r="M5" s="2488"/>
      <c r="N5" s="2488"/>
      <c r="O5" s="2488"/>
      <c r="P5" s="3454"/>
      <c r="Q5" s="3426"/>
      <c r="R5" s="3408"/>
      <c r="S5" s="3409"/>
      <c r="T5" s="3408"/>
      <c r="U5" s="3409"/>
      <c r="V5" s="3431"/>
      <c r="W5" s="3431"/>
      <c r="X5" s="1265"/>
      <c r="Y5" s="3408"/>
      <c r="Z5" s="3409"/>
      <c r="AA5" s="3402"/>
      <c r="AB5" s="3402"/>
      <c r="AC5" s="3450"/>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55"/>
      <c r="Q6" s="3428"/>
      <c r="R6" s="3408"/>
      <c r="S6" s="3409"/>
      <c r="T6" s="3429"/>
      <c r="U6" s="3430"/>
      <c r="V6" s="3431"/>
      <c r="W6" s="3431"/>
      <c r="X6" s="1265"/>
      <c r="Y6" s="3429"/>
      <c r="Z6" s="3430"/>
      <c r="AA6" s="3403"/>
      <c r="AB6" s="3403"/>
      <c r="AC6" s="3451"/>
    </row>
    <row r="7" spans="1:29" s="102" customFormat="1" ht="15.75" thickBot="1">
      <c r="A7" s="352" t="s">
        <v>1679</v>
      </c>
      <c r="B7" s="353"/>
      <c r="C7" s="354">
        <f>'数据-取费表'!B2</f>
        <v>45862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7" t="s">
        <v>1680</v>
      </c>
      <c r="Q7" s="3432"/>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7" t="s">
        <v>1683</v>
      </c>
      <c r="Q8" s="3405"/>
      <c r="R8" s="664" t="s">
        <v>14</v>
      </c>
      <c r="S8" s="665">
        <f t="shared" si="0"/>
        <v>100</v>
      </c>
      <c r="T8" s="664" t="s">
        <v>14</v>
      </c>
      <c r="U8" s="665">
        <f t="shared" si="1"/>
        <v>100</v>
      </c>
      <c r="V8" s="664" t="s">
        <v>14</v>
      </c>
      <c r="W8" s="665">
        <f t="shared" si="2"/>
        <v>100</v>
      </c>
      <c r="X8" s="666"/>
      <c r="Y8" s="3404" t="s">
        <v>1683</v>
      </c>
      <c r="Z8" s="340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8"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8"/>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8"/>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8"/>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8"/>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4" t="s">
        <v>1691</v>
      </c>
      <c r="Q15" s="1263" t="str">
        <f t="shared" si="6"/>
        <v>办公集聚程度</v>
      </c>
      <c r="R15" s="667" t="s">
        <v>14</v>
      </c>
      <c r="S15" s="668">
        <f t="shared" si="0"/>
        <v>100</v>
      </c>
      <c r="T15" s="667" t="s">
        <v>14</v>
      </c>
      <c r="U15" s="668">
        <f t="shared" si="1"/>
        <v>100</v>
      </c>
      <c r="V15" s="667" t="s">
        <v>14</v>
      </c>
      <c r="W15" s="668">
        <f t="shared" si="2"/>
        <v>100</v>
      </c>
      <c r="X15" s="1265"/>
      <c r="Y15" s="343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5"/>
      <c r="Q16" s="1263"/>
      <c r="R16" s="667"/>
      <c r="S16" s="668"/>
      <c r="T16" s="667"/>
      <c r="U16" s="668"/>
      <c r="V16" s="667"/>
      <c r="W16" s="668"/>
      <c r="X16" s="1265"/>
      <c r="Y16" s="343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5"/>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5"/>
      <c r="Q18" s="1263"/>
      <c r="R18" s="667"/>
      <c r="S18" s="668"/>
      <c r="T18" s="667"/>
      <c r="U18" s="668"/>
      <c r="V18" s="667"/>
      <c r="W18" s="668"/>
      <c r="X18" s="1265"/>
      <c r="Y18" s="3438"/>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5"/>
      <c r="Q19" s="1263" t="str">
        <f>B19</f>
        <v>公共配套设施</v>
      </c>
      <c r="R19" s="667" t="s">
        <v>14</v>
      </c>
      <c r="S19" s="668">
        <f>F19</f>
        <v>100</v>
      </c>
      <c r="T19" s="667" t="s">
        <v>14</v>
      </c>
      <c r="U19" s="668">
        <f>H19</f>
        <v>100</v>
      </c>
      <c r="V19" s="667" t="s">
        <v>14</v>
      </c>
      <c r="W19" s="668">
        <f>J19</f>
        <v>100</v>
      </c>
      <c r="X19" s="1265"/>
      <c r="Y19" s="343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5"/>
      <c r="Q20" s="1263"/>
      <c r="R20" s="667"/>
      <c r="S20" s="668"/>
      <c r="T20" s="667"/>
      <c r="U20" s="668"/>
      <c r="V20" s="667"/>
      <c r="W20" s="668"/>
      <c r="X20" s="1265"/>
      <c r="Y20" s="343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5"/>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5"/>
      <c r="Q22" s="1263"/>
      <c r="R22" s="667"/>
      <c r="S22" s="668"/>
      <c r="T22" s="667"/>
      <c r="U22" s="668"/>
      <c r="V22" s="667"/>
      <c r="W22" s="668"/>
      <c r="X22" s="1265"/>
      <c r="Y22" s="343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5"/>
      <c r="Q23" s="1263" t="str">
        <f>B23</f>
        <v>环境质量</v>
      </c>
      <c r="R23" s="667" t="s">
        <v>14</v>
      </c>
      <c r="S23" s="668">
        <f>F23</f>
        <v>100</v>
      </c>
      <c r="T23" s="667" t="s">
        <v>14</v>
      </c>
      <c r="U23" s="668">
        <f>H23</f>
        <v>100</v>
      </c>
      <c r="V23" s="667" t="s">
        <v>14</v>
      </c>
      <c r="W23" s="668">
        <f>J23</f>
        <v>100</v>
      </c>
      <c r="X23" s="1265"/>
      <c r="Y23" s="343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5"/>
      <c r="Q24" s="1263"/>
      <c r="R24" s="667"/>
      <c r="S24" s="668"/>
      <c r="T24" s="667"/>
      <c r="U24" s="668"/>
      <c r="V24" s="667"/>
      <c r="W24" s="668"/>
      <c r="X24" s="1265"/>
      <c r="Y24" s="343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5"/>
      <c r="Q25" s="1263" t="str">
        <f>B25</f>
        <v>毗邻道路的类型与等级</v>
      </c>
      <c r="R25" s="667" t="s">
        <v>14</v>
      </c>
      <c r="S25" s="668">
        <f>F25</f>
        <v>100</v>
      </c>
      <c r="T25" s="667" t="s">
        <v>14</v>
      </c>
      <c r="U25" s="668">
        <f>H25</f>
        <v>100</v>
      </c>
      <c r="V25" s="667" t="s">
        <v>14</v>
      </c>
      <c r="W25" s="668">
        <f>J25</f>
        <v>100</v>
      </c>
      <c r="X25" s="1265"/>
      <c r="Y25" s="343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5"/>
      <c r="Q26" s="1263"/>
      <c r="R26" s="667"/>
      <c r="S26" s="668"/>
      <c r="T26" s="667"/>
      <c r="U26" s="668"/>
      <c r="V26" s="667"/>
      <c r="W26" s="668"/>
      <c r="X26" s="1265"/>
      <c r="Y26" s="343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5"/>
      <c r="Q27" s="1263" t="str">
        <f t="shared" ref="Q27:Q47" si="11">B27</f>
        <v>楼层</v>
      </c>
      <c r="R27" s="667" t="s">
        <v>14</v>
      </c>
      <c r="S27" s="668">
        <f>F27</f>
        <v>100</v>
      </c>
      <c r="T27" s="667" t="s">
        <v>14</v>
      </c>
      <c r="U27" s="668">
        <f>H27</f>
        <v>100</v>
      </c>
      <c r="V27" s="667" t="s">
        <v>14</v>
      </c>
      <c r="W27" s="668">
        <f>J27</f>
        <v>100</v>
      </c>
      <c r="X27" s="1265"/>
      <c r="Y27" s="343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5"/>
      <c r="Q28" s="530" t="str">
        <f t="shared" si="11"/>
        <v>朝向</v>
      </c>
      <c r="R28" s="664" t="s">
        <v>14</v>
      </c>
      <c r="S28" s="665">
        <f>F28</f>
        <v>100</v>
      </c>
      <c r="T28" s="664" t="s">
        <v>14</v>
      </c>
      <c r="U28" s="665">
        <f>H28</f>
        <v>100</v>
      </c>
      <c r="V28" s="664" t="s">
        <v>14</v>
      </c>
      <c r="W28" s="665">
        <f>J28</f>
        <v>100</v>
      </c>
      <c r="X28" s="666"/>
      <c r="Y28" s="343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5"/>
      <c r="Q29" s="1263">
        <f t="shared" si="11"/>
        <v>111</v>
      </c>
      <c r="R29" s="667" t="s">
        <v>14</v>
      </c>
      <c r="S29" s="668">
        <f t="shared" ref="S29:S47" si="12">F29</f>
        <v>100</v>
      </c>
      <c r="T29" s="667" t="s">
        <v>14</v>
      </c>
      <c r="U29" s="668">
        <f t="shared" ref="U29:U47" si="13">H29</f>
        <v>100</v>
      </c>
      <c r="V29" s="667" t="s">
        <v>14</v>
      </c>
      <c r="W29" s="668">
        <f t="shared" ref="W29:W47" si="14">J29</f>
        <v>100</v>
      </c>
      <c r="X29" s="1265"/>
      <c r="Y29" s="343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5"/>
      <c r="Q30" s="1263">
        <f t="shared" si="11"/>
        <v>111</v>
      </c>
      <c r="R30" s="667" t="s">
        <v>14</v>
      </c>
      <c r="S30" s="668">
        <f t="shared" si="12"/>
        <v>100</v>
      </c>
      <c r="T30" s="667" t="s">
        <v>14</v>
      </c>
      <c r="U30" s="668">
        <f t="shared" si="13"/>
        <v>100</v>
      </c>
      <c r="V30" s="667" t="s">
        <v>14</v>
      </c>
      <c r="W30" s="668">
        <f t="shared" si="14"/>
        <v>100</v>
      </c>
      <c r="X30" s="1265"/>
      <c r="Y30" s="343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5"/>
      <c r="Q31" s="1263">
        <f t="shared" si="11"/>
        <v>111</v>
      </c>
      <c r="R31" s="667" t="s">
        <v>14</v>
      </c>
      <c r="S31" s="668">
        <f t="shared" si="12"/>
        <v>100</v>
      </c>
      <c r="T31" s="667" t="s">
        <v>14</v>
      </c>
      <c r="U31" s="668">
        <f t="shared" si="13"/>
        <v>100</v>
      </c>
      <c r="V31" s="667" t="s">
        <v>14</v>
      </c>
      <c r="W31" s="668">
        <f t="shared" si="14"/>
        <v>100</v>
      </c>
      <c r="X31" s="1265"/>
      <c r="Y31" s="343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5"/>
      <c r="Q32" s="1263">
        <f t="shared" si="11"/>
        <v>111</v>
      </c>
      <c r="R32" s="667" t="s">
        <v>14</v>
      </c>
      <c r="S32" s="668">
        <f t="shared" si="12"/>
        <v>100</v>
      </c>
      <c r="T32" s="667" t="s">
        <v>14</v>
      </c>
      <c r="U32" s="668">
        <f t="shared" si="13"/>
        <v>100</v>
      </c>
      <c r="V32" s="667" t="s">
        <v>14</v>
      </c>
      <c r="W32" s="668">
        <f t="shared" si="14"/>
        <v>100</v>
      </c>
      <c r="X32" s="1265"/>
      <c r="Y32" s="343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9" t="s">
        <v>1696</v>
      </c>
      <c r="Q33" s="1263" t="str">
        <f t="shared" si="11"/>
        <v>建筑类型</v>
      </c>
      <c r="R33" s="667" t="s">
        <v>14</v>
      </c>
      <c r="S33" s="668">
        <f t="shared" si="12"/>
        <v>100</v>
      </c>
      <c r="T33" s="667" t="s">
        <v>14</v>
      </c>
      <c r="U33" s="668">
        <f t="shared" si="13"/>
        <v>100</v>
      </c>
      <c r="V33" s="667" t="s">
        <v>14</v>
      </c>
      <c r="W33" s="668">
        <f t="shared" si="14"/>
        <v>100</v>
      </c>
      <c r="X33" s="1265"/>
      <c r="Y33" s="344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0"/>
      <c r="Q34" s="531" t="str">
        <f t="shared" si="11"/>
        <v>项目建筑规模</v>
      </c>
      <c r="R34" s="669" t="s">
        <v>14</v>
      </c>
      <c r="S34" s="670" t="e">
        <f t="shared" si="12"/>
        <v>#N/A</v>
      </c>
      <c r="T34" s="669" t="s">
        <v>14</v>
      </c>
      <c r="U34" s="670" t="e">
        <f t="shared" si="13"/>
        <v>#N/A</v>
      </c>
      <c r="V34" s="669" t="s">
        <v>14</v>
      </c>
      <c r="W34" s="670" t="e">
        <f t="shared" si="14"/>
        <v>#N/A</v>
      </c>
      <c r="X34" s="671"/>
      <c r="Y34" s="344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0"/>
      <c r="Q35" s="1263" t="str">
        <f t="shared" si="11"/>
        <v>建筑结构</v>
      </c>
      <c r="R35" s="667" t="s">
        <v>14</v>
      </c>
      <c r="S35" s="668">
        <f t="shared" si="12"/>
        <v>100</v>
      </c>
      <c r="T35" s="667" t="s">
        <v>14</v>
      </c>
      <c r="U35" s="668">
        <f t="shared" si="13"/>
        <v>100</v>
      </c>
      <c r="V35" s="667" t="s">
        <v>14</v>
      </c>
      <c r="W35" s="668">
        <f t="shared" si="14"/>
        <v>100</v>
      </c>
      <c r="X35" s="1265"/>
      <c r="Y35" s="344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0"/>
      <c r="Q36" s="1263" t="str">
        <f t="shared" si="11"/>
        <v>公共部分装修</v>
      </c>
      <c r="R36" s="667" t="s">
        <v>14</v>
      </c>
      <c r="S36" s="668">
        <f t="shared" si="12"/>
        <v>100</v>
      </c>
      <c r="T36" s="667" t="s">
        <v>14</v>
      </c>
      <c r="U36" s="668">
        <f t="shared" si="13"/>
        <v>100</v>
      </c>
      <c r="V36" s="667" t="s">
        <v>14</v>
      </c>
      <c r="W36" s="668">
        <f t="shared" si="14"/>
        <v>100</v>
      </c>
      <c r="X36" s="1265"/>
      <c r="Y36" s="344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0"/>
      <c r="Q37" s="1263" t="str">
        <f t="shared" si="11"/>
        <v>成新度</v>
      </c>
      <c r="R37" s="667" t="s">
        <v>14</v>
      </c>
      <c r="S37" s="668" t="e">
        <f t="shared" si="12"/>
        <v>#N/A</v>
      </c>
      <c r="T37" s="667" t="s">
        <v>14</v>
      </c>
      <c r="U37" s="668" t="e">
        <f t="shared" si="13"/>
        <v>#N/A</v>
      </c>
      <c r="V37" s="667" t="s">
        <v>14</v>
      </c>
      <c r="W37" s="668" t="e">
        <f t="shared" si="14"/>
        <v>#N/A</v>
      </c>
      <c r="X37" s="1265"/>
      <c r="Y37" s="344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0"/>
      <c r="Q38" s="530" t="str">
        <f t="shared" si="11"/>
        <v>写字楼等级</v>
      </c>
      <c r="R38" s="664" t="s">
        <v>14</v>
      </c>
      <c r="S38" s="665">
        <f t="shared" si="12"/>
        <v>100</v>
      </c>
      <c r="T38" s="664" t="s">
        <v>14</v>
      </c>
      <c r="U38" s="665">
        <f t="shared" si="13"/>
        <v>100</v>
      </c>
      <c r="V38" s="664" t="s">
        <v>14</v>
      </c>
      <c r="W38" s="665">
        <f t="shared" si="14"/>
        <v>100</v>
      </c>
      <c r="X38" s="666"/>
      <c r="Y38" s="344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0" t="s">
        <v>1696</v>
      </c>
      <c r="Q39" s="1263" t="str">
        <f t="shared" si="11"/>
        <v>物业管理</v>
      </c>
      <c r="R39" s="667" t="s">
        <v>14</v>
      </c>
      <c r="S39" s="668">
        <f t="shared" si="12"/>
        <v>100</v>
      </c>
      <c r="T39" s="667" t="s">
        <v>14</v>
      </c>
      <c r="U39" s="668">
        <f t="shared" si="13"/>
        <v>100</v>
      </c>
      <c r="V39" s="667" t="s">
        <v>14</v>
      </c>
      <c r="W39" s="668">
        <f t="shared" si="14"/>
        <v>100</v>
      </c>
      <c r="X39" s="1265"/>
      <c r="Y39" s="344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0"/>
      <c r="Q40" s="1263" t="str">
        <f t="shared" si="11"/>
        <v>市政基础设施</v>
      </c>
      <c r="R40" s="667" t="s">
        <v>14</v>
      </c>
      <c r="S40" s="668">
        <f t="shared" si="12"/>
        <v>100</v>
      </c>
      <c r="T40" s="667" t="s">
        <v>14</v>
      </c>
      <c r="U40" s="668">
        <f t="shared" si="13"/>
        <v>100</v>
      </c>
      <c r="V40" s="667" t="s">
        <v>14</v>
      </c>
      <c r="W40" s="668">
        <f t="shared" si="14"/>
        <v>100</v>
      </c>
      <c r="X40" s="1265"/>
      <c r="Y40" s="344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0"/>
      <c r="Q41" s="1263" t="str">
        <f t="shared" si="11"/>
        <v>层高</v>
      </c>
      <c r="R41" s="667" t="s">
        <v>14</v>
      </c>
      <c r="S41" s="668">
        <f t="shared" si="12"/>
        <v>100</v>
      </c>
      <c r="T41" s="667" t="s">
        <v>14</v>
      </c>
      <c r="U41" s="668">
        <f t="shared" si="13"/>
        <v>100</v>
      </c>
      <c r="V41" s="667" t="s">
        <v>14</v>
      </c>
      <c r="W41" s="668">
        <f t="shared" si="14"/>
        <v>100</v>
      </c>
      <c r="X41" s="1265"/>
      <c r="Y41" s="344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0"/>
      <c r="Q42" s="531" t="str">
        <f t="shared" si="11"/>
        <v>单套建筑面积</v>
      </c>
      <c r="R42" s="669" t="s">
        <v>14</v>
      </c>
      <c r="S42" s="670">
        <f t="shared" si="12"/>
        <v>100</v>
      </c>
      <c r="T42" s="669" t="s">
        <v>14</v>
      </c>
      <c r="U42" s="670">
        <f t="shared" si="13"/>
        <v>100</v>
      </c>
      <c r="V42" s="669" t="s">
        <v>14</v>
      </c>
      <c r="W42" s="670">
        <f t="shared" si="14"/>
        <v>100</v>
      </c>
      <c r="X42" s="671"/>
      <c r="Y42" s="344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0"/>
      <c r="Q43" s="1263" t="str">
        <f t="shared" si="11"/>
        <v>内部装修</v>
      </c>
      <c r="R43" s="667" t="s">
        <v>14</v>
      </c>
      <c r="S43" s="668">
        <f t="shared" si="12"/>
        <v>100</v>
      </c>
      <c r="T43" s="667" t="s">
        <v>14</v>
      </c>
      <c r="U43" s="668">
        <f t="shared" si="13"/>
        <v>100</v>
      </c>
      <c r="V43" s="667" t="s">
        <v>14</v>
      </c>
      <c r="W43" s="668">
        <f t="shared" si="14"/>
        <v>100</v>
      </c>
      <c r="X43" s="1265"/>
      <c r="Y43" s="344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0"/>
      <c r="Q44" s="1263" t="str">
        <f t="shared" si="11"/>
        <v>内部装修维护情况</v>
      </c>
      <c r="R44" s="667" t="s">
        <v>14</v>
      </c>
      <c r="S44" s="668">
        <f t="shared" si="12"/>
        <v>100</v>
      </c>
      <c r="T44" s="667" t="s">
        <v>14</v>
      </c>
      <c r="U44" s="668">
        <f t="shared" si="13"/>
        <v>100</v>
      </c>
      <c r="V44" s="667" t="s">
        <v>14</v>
      </c>
      <c r="W44" s="668">
        <f t="shared" si="14"/>
        <v>100</v>
      </c>
      <c r="X44" s="1265"/>
      <c r="Y44" s="344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0"/>
      <c r="Q45" s="530">
        <f t="shared" si="11"/>
        <v>111</v>
      </c>
      <c r="R45" s="664" t="s">
        <v>14</v>
      </c>
      <c r="S45" s="665">
        <f t="shared" si="12"/>
        <v>100</v>
      </c>
      <c r="T45" s="664" t="s">
        <v>14</v>
      </c>
      <c r="U45" s="665">
        <f t="shared" si="13"/>
        <v>100</v>
      </c>
      <c r="V45" s="664" t="s">
        <v>14</v>
      </c>
      <c r="W45" s="665">
        <f t="shared" si="14"/>
        <v>100</v>
      </c>
      <c r="X45" s="666"/>
      <c r="Y45" s="344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0"/>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1"/>
      <c r="Q47" s="1263">
        <f t="shared" si="11"/>
        <v>111</v>
      </c>
      <c r="R47" s="667" t="s">
        <v>14</v>
      </c>
      <c r="S47" s="668">
        <f t="shared" si="12"/>
        <v>100</v>
      </c>
      <c r="T47" s="667" t="s">
        <v>14</v>
      </c>
      <c r="U47" s="668">
        <f t="shared" si="13"/>
        <v>100</v>
      </c>
      <c r="V47" s="667" t="s">
        <v>14</v>
      </c>
      <c r="W47" s="668">
        <f t="shared" si="14"/>
        <v>100</v>
      </c>
      <c r="X47" s="1265"/>
      <c r="Y47" s="344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8" t="str">
        <f>A48</f>
        <v>成交单价（元/平方米）</v>
      </c>
      <c r="Q48" s="3436"/>
      <c r="R48" s="3431">
        <f>E48</f>
        <v>0</v>
      </c>
      <c r="S48" s="3431"/>
      <c r="T48" s="3431">
        <f>G48</f>
        <v>0</v>
      </c>
      <c r="U48" s="3431"/>
      <c r="V48" s="3431">
        <f>I48</f>
        <v>0</v>
      </c>
      <c r="W48" s="343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8" t="str">
        <f>A49</f>
        <v>比较价值（元/平方米）</v>
      </c>
      <c r="Q49" s="3436"/>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8789.66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860"/>
      <c r="M4" s="861"/>
      <c r="N4" s="861"/>
      <c r="O4" s="861"/>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860"/>
      <c r="M5" s="861"/>
      <c r="N5" s="861"/>
      <c r="O5" s="861"/>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537" t="s">
        <v>1678</v>
      </c>
      <c r="L6" s="860"/>
      <c r="M6" s="861"/>
      <c r="N6" s="861"/>
      <c r="O6" s="861"/>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45862</v>
      </c>
      <c r="D7" s="355">
        <v>100</v>
      </c>
      <c r="E7" s="356"/>
      <c r="F7" s="357">
        <f>SUMIF(52:52,YEAR(E7)&amp;"-"&amp;MONTH(E7),53:53)</f>
        <v>0</v>
      </c>
      <c r="G7" s="356"/>
      <c r="H7" s="355">
        <f>SUMIF(52:52,YEAR(G7)&amp;"-"&amp;MONTH(G7),53:53)</f>
        <v>0</v>
      </c>
      <c r="I7" s="356"/>
      <c r="J7" s="355">
        <f>SUMIF(52:52,YEAR(I7)&amp;"-"&amp;MONTH(I7),53:53)</f>
        <v>0</v>
      </c>
      <c r="K7" s="38"/>
      <c r="L7" s="862"/>
      <c r="M7" s="863"/>
      <c r="N7" s="863"/>
      <c r="O7" s="863"/>
      <c r="P7" s="3404" t="s">
        <v>1680</v>
      </c>
      <c r="Q7" s="3432"/>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4" t="s">
        <v>1683</v>
      </c>
      <c r="Q8" s="3405"/>
      <c r="R8" s="664" t="s">
        <v>14</v>
      </c>
      <c r="S8" s="665">
        <f t="shared" si="0"/>
        <v>100</v>
      </c>
      <c r="T8" s="664" t="s">
        <v>14</v>
      </c>
      <c r="U8" s="665">
        <f t="shared" si="1"/>
        <v>100</v>
      </c>
      <c r="V8" s="664" t="s">
        <v>14</v>
      </c>
      <c r="W8" s="665">
        <f t="shared" si="2"/>
        <v>100</v>
      </c>
      <c r="X8" s="666"/>
      <c r="Y8" s="3404" t="s">
        <v>1683</v>
      </c>
      <c r="Z8" s="340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6"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6"/>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6"/>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7" t="s">
        <v>1691</v>
      </c>
      <c r="Q15" s="1263" t="str">
        <f t="shared" si="6"/>
        <v>产业集聚程度</v>
      </c>
      <c r="R15" s="667" t="s">
        <v>14</v>
      </c>
      <c r="S15" s="668">
        <f t="shared" si="0"/>
        <v>100</v>
      </c>
      <c r="T15" s="667" t="s">
        <v>14</v>
      </c>
      <c r="U15" s="668">
        <f t="shared" si="1"/>
        <v>100</v>
      </c>
      <c r="V15" s="667" t="s">
        <v>14</v>
      </c>
      <c r="W15" s="668">
        <f t="shared" si="2"/>
        <v>100</v>
      </c>
      <c r="X15" s="1265"/>
      <c r="Y15" s="343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8"/>
      <c r="Q16" s="1263"/>
      <c r="R16" s="667"/>
      <c r="S16" s="668"/>
      <c r="T16" s="667"/>
      <c r="U16" s="668"/>
      <c r="V16" s="667"/>
      <c r="W16" s="668"/>
      <c r="X16" s="1265"/>
      <c r="Y16" s="343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8"/>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8"/>
      <c r="Q18" s="1263"/>
      <c r="R18" s="667"/>
      <c r="S18" s="668"/>
      <c r="T18" s="667"/>
      <c r="U18" s="668"/>
      <c r="V18" s="667"/>
      <c r="W18" s="668"/>
      <c r="X18" s="1265"/>
      <c r="Y18" s="343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8"/>
      <c r="Q19" s="1263" t="str">
        <f>B19</f>
        <v>公共配套设施</v>
      </c>
      <c r="R19" s="667" t="s">
        <v>14</v>
      </c>
      <c r="S19" s="668">
        <f>F19</f>
        <v>100</v>
      </c>
      <c r="T19" s="667" t="s">
        <v>14</v>
      </c>
      <c r="U19" s="668">
        <f>H19</f>
        <v>100</v>
      </c>
      <c r="V19" s="667" t="s">
        <v>14</v>
      </c>
      <c r="W19" s="668">
        <f>J19</f>
        <v>100</v>
      </c>
      <c r="X19" s="1265"/>
      <c r="Y19" s="343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8"/>
      <c r="Q20" s="1263"/>
      <c r="R20" s="667"/>
      <c r="S20" s="668"/>
      <c r="T20" s="667"/>
      <c r="U20" s="668"/>
      <c r="V20" s="667"/>
      <c r="W20" s="668"/>
      <c r="X20" s="1265"/>
      <c r="Y20" s="343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8"/>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8"/>
      <c r="Q22" s="1263"/>
      <c r="R22" s="667"/>
      <c r="S22" s="668"/>
      <c r="T22" s="667"/>
      <c r="U22" s="668"/>
      <c r="V22" s="667"/>
      <c r="W22" s="668"/>
      <c r="X22" s="1265"/>
      <c r="Y22" s="343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8"/>
      <c r="Q23" s="1263" t="str">
        <f>B23</f>
        <v>环境质量</v>
      </c>
      <c r="R23" s="667" t="s">
        <v>14</v>
      </c>
      <c r="S23" s="668">
        <f>F23</f>
        <v>100</v>
      </c>
      <c r="T23" s="667" t="s">
        <v>14</v>
      </c>
      <c r="U23" s="668">
        <f>H23</f>
        <v>100</v>
      </c>
      <c r="V23" s="667" t="s">
        <v>14</v>
      </c>
      <c r="W23" s="668">
        <f>J23</f>
        <v>100</v>
      </c>
      <c r="X23" s="1265"/>
      <c r="Y23" s="343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8"/>
      <c r="Q24" s="1263"/>
      <c r="R24" s="667"/>
      <c r="S24" s="668"/>
      <c r="T24" s="667"/>
      <c r="U24" s="668"/>
      <c r="V24" s="667"/>
      <c r="W24" s="668"/>
      <c r="X24" s="1265"/>
      <c r="Y24" s="343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8"/>
      <c r="Q25" s="1263">
        <f>B25</f>
        <v>111</v>
      </c>
      <c r="R25" s="667" t="s">
        <v>14</v>
      </c>
      <c r="S25" s="668">
        <f>F25</f>
        <v>100</v>
      </c>
      <c r="T25" s="667" t="s">
        <v>14</v>
      </c>
      <c r="U25" s="668">
        <f>H25</f>
        <v>100</v>
      </c>
      <c r="V25" s="667" t="s">
        <v>14</v>
      </c>
      <c r="W25" s="668">
        <f>J25</f>
        <v>100</v>
      </c>
      <c r="X25" s="1265"/>
      <c r="Y25" s="343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8"/>
      <c r="Q26" s="1263">
        <f t="shared" ref="Q26:Q40" si="11">B26</f>
        <v>111</v>
      </c>
      <c r="R26" s="667" t="s">
        <v>14</v>
      </c>
      <c r="S26" s="668">
        <f>F26</f>
        <v>100</v>
      </c>
      <c r="T26" s="667" t="s">
        <v>14</v>
      </c>
      <c r="U26" s="668">
        <f>H26</f>
        <v>100</v>
      </c>
      <c r="V26" s="667" t="s">
        <v>14</v>
      </c>
      <c r="W26" s="668">
        <f>J26</f>
        <v>100</v>
      </c>
      <c r="X26" s="1265"/>
      <c r="Y26" s="343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8"/>
      <c r="Q27" s="530">
        <f t="shared" si="11"/>
        <v>111</v>
      </c>
      <c r="R27" s="664" t="s">
        <v>14</v>
      </c>
      <c r="S27" s="665">
        <f>F27</f>
        <v>100</v>
      </c>
      <c r="T27" s="664" t="s">
        <v>14</v>
      </c>
      <c r="U27" s="665">
        <f>H27</f>
        <v>100</v>
      </c>
      <c r="V27" s="664" t="s">
        <v>14</v>
      </c>
      <c r="W27" s="665">
        <f>J27</f>
        <v>100</v>
      </c>
      <c r="X27" s="666"/>
      <c r="Y27" s="343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8"/>
      <c r="Q28" s="1263">
        <f t="shared" si="11"/>
        <v>111</v>
      </c>
      <c r="R28" s="667" t="s">
        <v>14</v>
      </c>
      <c r="S28" s="668">
        <f t="shared" ref="S28:S40" si="12">F28</f>
        <v>100</v>
      </c>
      <c r="T28" s="667" t="s">
        <v>14</v>
      </c>
      <c r="U28" s="668">
        <f t="shared" ref="U28:U40" si="13">H28</f>
        <v>100</v>
      </c>
      <c r="V28" s="667" t="s">
        <v>14</v>
      </c>
      <c r="W28" s="668">
        <f t="shared" ref="W28:W40" si="14">J28</f>
        <v>100</v>
      </c>
      <c r="X28" s="1265"/>
      <c r="Y28" s="343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4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2"/>
      <c r="Q30" s="531" t="str">
        <f t="shared" si="11"/>
        <v>项目建筑规模</v>
      </c>
      <c r="R30" s="669" t="s">
        <v>14</v>
      </c>
      <c r="S30" s="670" t="e">
        <f t="shared" si="12"/>
        <v>#N/A</v>
      </c>
      <c r="T30" s="669" t="s">
        <v>14</v>
      </c>
      <c r="U30" s="670" t="e">
        <f t="shared" si="13"/>
        <v>#N/A</v>
      </c>
      <c r="V30" s="669" t="s">
        <v>14</v>
      </c>
      <c r="W30" s="670" t="e">
        <f t="shared" si="14"/>
        <v>#N/A</v>
      </c>
      <c r="X30" s="671"/>
      <c r="Y30" s="344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2"/>
      <c r="Q31" s="1263" t="str">
        <f t="shared" si="11"/>
        <v>建筑结构</v>
      </c>
      <c r="R31" s="667" t="s">
        <v>14</v>
      </c>
      <c r="S31" s="668">
        <f t="shared" si="12"/>
        <v>100</v>
      </c>
      <c r="T31" s="667" t="s">
        <v>14</v>
      </c>
      <c r="U31" s="668">
        <f t="shared" si="13"/>
        <v>100</v>
      </c>
      <c r="V31" s="667" t="s">
        <v>14</v>
      </c>
      <c r="W31" s="668">
        <f t="shared" si="14"/>
        <v>100</v>
      </c>
      <c r="X31" s="1265"/>
      <c r="Y31" s="344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2"/>
      <c r="Q32" s="1263" t="str">
        <f t="shared" si="11"/>
        <v>公共部分装修</v>
      </c>
      <c r="R32" s="667" t="s">
        <v>14</v>
      </c>
      <c r="S32" s="668">
        <f t="shared" si="12"/>
        <v>100</v>
      </c>
      <c r="T32" s="667" t="s">
        <v>14</v>
      </c>
      <c r="U32" s="668">
        <f t="shared" si="13"/>
        <v>100</v>
      </c>
      <c r="V32" s="667" t="s">
        <v>14</v>
      </c>
      <c r="W32" s="668">
        <f t="shared" si="14"/>
        <v>100</v>
      </c>
      <c r="X32" s="1265"/>
      <c r="Y32" s="344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2"/>
      <c r="Q33" s="1263" t="str">
        <f t="shared" si="11"/>
        <v>成新度</v>
      </c>
      <c r="R33" s="667" t="s">
        <v>14</v>
      </c>
      <c r="S33" s="668" t="e">
        <f t="shared" si="12"/>
        <v>#N/A</v>
      </c>
      <c r="T33" s="667" t="s">
        <v>14</v>
      </c>
      <c r="U33" s="668" t="e">
        <f t="shared" si="13"/>
        <v>#N/A</v>
      </c>
      <c r="V33" s="667" t="s">
        <v>14</v>
      </c>
      <c r="W33" s="668" t="e">
        <f t="shared" si="14"/>
        <v>#N/A</v>
      </c>
      <c r="X33" s="1265"/>
      <c r="Y33" s="344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2"/>
      <c r="Q34" s="530" t="str">
        <f t="shared" si="11"/>
        <v>物业管理</v>
      </c>
      <c r="R34" s="664" t="s">
        <v>14</v>
      </c>
      <c r="S34" s="665">
        <f t="shared" si="12"/>
        <v>100</v>
      </c>
      <c r="T34" s="664" t="s">
        <v>14</v>
      </c>
      <c r="U34" s="665">
        <f t="shared" si="13"/>
        <v>100</v>
      </c>
      <c r="V34" s="664" t="s">
        <v>14</v>
      </c>
      <c r="W34" s="665">
        <f t="shared" si="14"/>
        <v>100</v>
      </c>
      <c r="X34" s="666"/>
      <c r="Y34" s="344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2" t="s">
        <v>1696</v>
      </c>
      <c r="Q35" s="1263" t="str">
        <f t="shared" si="11"/>
        <v>市政基础设施</v>
      </c>
      <c r="R35" s="667" t="s">
        <v>14</v>
      </c>
      <c r="S35" s="668">
        <f t="shared" si="12"/>
        <v>100</v>
      </c>
      <c r="T35" s="667" t="s">
        <v>14</v>
      </c>
      <c r="U35" s="668">
        <f t="shared" si="13"/>
        <v>100</v>
      </c>
      <c r="V35" s="667" t="s">
        <v>14</v>
      </c>
      <c r="W35" s="668">
        <f t="shared" si="14"/>
        <v>100</v>
      </c>
      <c r="X35" s="1265"/>
      <c r="Y35" s="344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2"/>
      <c r="Q36" s="1263" t="str">
        <f t="shared" si="11"/>
        <v>内部装修</v>
      </c>
      <c r="R36" s="667" t="s">
        <v>14</v>
      </c>
      <c r="S36" s="668">
        <f t="shared" si="12"/>
        <v>100</v>
      </c>
      <c r="T36" s="667" t="s">
        <v>14</v>
      </c>
      <c r="U36" s="668">
        <f t="shared" si="13"/>
        <v>100</v>
      </c>
      <c r="V36" s="667" t="s">
        <v>14</v>
      </c>
      <c r="W36" s="668">
        <f t="shared" si="14"/>
        <v>100</v>
      </c>
      <c r="X36" s="1265"/>
      <c r="Y36" s="344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2"/>
      <c r="Q37" s="1263" t="str">
        <f t="shared" si="11"/>
        <v>内部装修状况</v>
      </c>
      <c r="R37" s="667" t="s">
        <v>14</v>
      </c>
      <c r="S37" s="668">
        <f t="shared" si="12"/>
        <v>100</v>
      </c>
      <c r="T37" s="667" t="s">
        <v>14</v>
      </c>
      <c r="U37" s="668">
        <f t="shared" si="13"/>
        <v>100</v>
      </c>
      <c r="V37" s="667" t="s">
        <v>14</v>
      </c>
      <c r="W37" s="668">
        <f t="shared" si="14"/>
        <v>100</v>
      </c>
      <c r="X37" s="1265"/>
      <c r="Y37" s="344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2"/>
      <c r="Q38" s="531">
        <f t="shared" si="11"/>
        <v>111</v>
      </c>
      <c r="R38" s="669" t="s">
        <v>14</v>
      </c>
      <c r="S38" s="670">
        <f t="shared" si="12"/>
        <v>100</v>
      </c>
      <c r="T38" s="669" t="s">
        <v>14</v>
      </c>
      <c r="U38" s="670">
        <f t="shared" si="13"/>
        <v>100</v>
      </c>
      <c r="V38" s="669" t="s">
        <v>14</v>
      </c>
      <c r="W38" s="670">
        <f t="shared" si="14"/>
        <v>100</v>
      </c>
      <c r="X38" s="671"/>
      <c r="Y38" s="344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2"/>
      <c r="Q39" s="1263">
        <f t="shared" si="11"/>
        <v>111</v>
      </c>
      <c r="R39" s="667" t="s">
        <v>14</v>
      </c>
      <c r="S39" s="668">
        <f t="shared" si="12"/>
        <v>100</v>
      </c>
      <c r="T39" s="667" t="s">
        <v>14</v>
      </c>
      <c r="U39" s="668">
        <f t="shared" si="13"/>
        <v>100</v>
      </c>
      <c r="V39" s="667" t="s">
        <v>14</v>
      </c>
      <c r="W39" s="668">
        <f t="shared" si="14"/>
        <v>100</v>
      </c>
      <c r="X39" s="1265"/>
      <c r="Y39" s="344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3"/>
      <c r="Q40" s="1263">
        <f t="shared" si="11"/>
        <v>111</v>
      </c>
      <c r="R40" s="667" t="s">
        <v>14</v>
      </c>
      <c r="S40" s="668">
        <f t="shared" si="12"/>
        <v>100</v>
      </c>
      <c r="T40" s="667" t="s">
        <v>14</v>
      </c>
      <c r="U40" s="668">
        <f t="shared" si="13"/>
        <v>100</v>
      </c>
      <c r="V40" s="667" t="s">
        <v>14</v>
      </c>
      <c r="W40" s="668">
        <f t="shared" si="14"/>
        <v>100</v>
      </c>
      <c r="X40" s="1265"/>
      <c r="Y40" s="344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6" t="str">
        <f>A41</f>
        <v>成交单价（元/平方米）</v>
      </c>
      <c r="Q41" s="3436"/>
      <c r="R41" s="3431">
        <f>E41</f>
        <v>0</v>
      </c>
      <c r="S41" s="3431"/>
      <c r="T41" s="3431">
        <f>G41</f>
        <v>0</v>
      </c>
      <c r="U41" s="3431"/>
      <c r="V41" s="3431">
        <f>I41</f>
        <v>0</v>
      </c>
      <c r="W41" s="343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6" t="str">
        <f>A42</f>
        <v>比较价值（元/平方米）</v>
      </c>
      <c r="Q42" s="3436"/>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45862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4" t="s">
        <v>1680</v>
      </c>
      <c r="Q7" s="3432"/>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6" t="s">
        <v>1686</v>
      </c>
      <c r="Q9" s="530" t="str">
        <f t="shared" ref="Q9:Q14" si="6">B9</f>
        <v>用途</v>
      </c>
      <c r="R9" s="664" t="s">
        <v>14</v>
      </c>
      <c r="S9" s="665">
        <f t="shared" si="0"/>
        <v>100</v>
      </c>
      <c r="T9" s="664" t="s">
        <v>14</v>
      </c>
      <c r="U9" s="665">
        <f t="shared" si="1"/>
        <v>100</v>
      </c>
      <c r="V9" s="664" t="s">
        <v>14</v>
      </c>
      <c r="W9" s="665">
        <f t="shared" si="2"/>
        <v>100</v>
      </c>
      <c r="X9" s="666"/>
      <c r="Y9" s="332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6"/>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7" t="s">
        <v>1691</v>
      </c>
      <c r="Q14" s="1263" t="str">
        <f t="shared" si="6"/>
        <v>交通便捷度</v>
      </c>
      <c r="R14" s="667" t="s">
        <v>14</v>
      </c>
      <c r="S14" s="668">
        <f t="shared" si="0"/>
        <v>100</v>
      </c>
      <c r="T14" s="667" t="s">
        <v>14</v>
      </c>
      <c r="U14" s="668">
        <f t="shared" si="1"/>
        <v>100</v>
      </c>
      <c r="V14" s="667" t="s">
        <v>14</v>
      </c>
      <c r="W14" s="668">
        <f t="shared" si="2"/>
        <v>100</v>
      </c>
      <c r="X14" s="1265"/>
      <c r="Y14" s="343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8"/>
      <c r="Q15" s="1263"/>
      <c r="R15" s="667"/>
      <c r="S15" s="668"/>
      <c r="T15" s="667"/>
      <c r="U15" s="668"/>
      <c r="V15" s="667"/>
      <c r="W15" s="668"/>
      <c r="X15" s="1265"/>
      <c r="Y15" s="343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8"/>
      <c r="Q16" s="1263" t="str">
        <f>B16</f>
        <v>公共配套设施</v>
      </c>
      <c r="R16" s="667" t="s">
        <v>14</v>
      </c>
      <c r="S16" s="668">
        <f>F16</f>
        <v>100</v>
      </c>
      <c r="T16" s="667" t="s">
        <v>14</v>
      </c>
      <c r="U16" s="668">
        <f>H16</f>
        <v>100</v>
      </c>
      <c r="V16" s="667" t="s">
        <v>14</v>
      </c>
      <c r="W16" s="668">
        <f>J16</f>
        <v>100</v>
      </c>
      <c r="X16" s="1265"/>
      <c r="Y16" s="343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8"/>
      <c r="Q17" s="1263"/>
      <c r="R17" s="667"/>
      <c r="S17" s="668"/>
      <c r="T17" s="667"/>
      <c r="U17" s="668"/>
      <c r="V17" s="667"/>
      <c r="W17" s="668"/>
      <c r="X17" s="1265"/>
      <c r="Y17" s="343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8"/>
      <c r="Q18" s="1263" t="str">
        <f>B18</f>
        <v>基础设施水平</v>
      </c>
      <c r="R18" s="667" t="s">
        <v>14</v>
      </c>
      <c r="S18" s="668">
        <f>F18</f>
        <v>100</v>
      </c>
      <c r="T18" s="667" t="s">
        <v>14</v>
      </c>
      <c r="U18" s="668">
        <f>H18</f>
        <v>100</v>
      </c>
      <c r="V18" s="667" t="s">
        <v>14</v>
      </c>
      <c r="W18" s="668">
        <f>J18</f>
        <v>100</v>
      </c>
      <c r="X18" s="1265"/>
      <c r="Y18" s="343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8"/>
      <c r="Q19" s="1263"/>
      <c r="R19" s="667"/>
      <c r="S19" s="668"/>
      <c r="T19" s="667"/>
      <c r="U19" s="668"/>
      <c r="V19" s="667"/>
      <c r="W19" s="668"/>
      <c r="X19" s="1265"/>
      <c r="Y19" s="343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8"/>
      <c r="Q20" s="1263" t="str">
        <f>B20</f>
        <v>自然及人文环境</v>
      </c>
      <c r="R20" s="667" t="s">
        <v>14</v>
      </c>
      <c r="S20" s="668">
        <f>F20</f>
        <v>100</v>
      </c>
      <c r="T20" s="667" t="s">
        <v>14</v>
      </c>
      <c r="U20" s="668">
        <f>H20</f>
        <v>100</v>
      </c>
      <c r="V20" s="667" t="s">
        <v>14</v>
      </c>
      <c r="W20" s="668">
        <f>J20</f>
        <v>100</v>
      </c>
      <c r="X20" s="1265"/>
      <c r="Y20" s="343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8"/>
      <c r="Q21" s="1263"/>
      <c r="R21" s="667"/>
      <c r="S21" s="668"/>
      <c r="T21" s="667"/>
      <c r="U21" s="668"/>
      <c r="V21" s="667"/>
      <c r="W21" s="668"/>
      <c r="X21" s="1265"/>
      <c r="Y21" s="343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8"/>
      <c r="Q22" s="1263" t="str">
        <f>B22</f>
        <v>楼层</v>
      </c>
      <c r="R22" s="667" t="s">
        <v>14</v>
      </c>
      <c r="S22" s="668">
        <f>F22</f>
        <v>100</v>
      </c>
      <c r="T22" s="667" t="s">
        <v>14</v>
      </c>
      <c r="U22" s="668">
        <f>H22</f>
        <v>100</v>
      </c>
      <c r="V22" s="667" t="s">
        <v>14</v>
      </c>
      <c r="W22" s="668">
        <f>J22</f>
        <v>100</v>
      </c>
      <c r="X22" s="1265"/>
      <c r="Y22" s="343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8"/>
      <c r="Q23" s="1263">
        <f>B23</f>
        <v>111</v>
      </c>
      <c r="R23" s="667" t="s">
        <v>14</v>
      </c>
      <c r="S23" s="668">
        <f>F23</f>
        <v>100</v>
      </c>
      <c r="T23" s="667" t="s">
        <v>14</v>
      </c>
      <c r="U23" s="668">
        <f>H23</f>
        <v>100</v>
      </c>
      <c r="V23" s="667" t="s">
        <v>14</v>
      </c>
      <c r="W23" s="668">
        <f>J23</f>
        <v>100</v>
      </c>
      <c r="X23" s="1265"/>
      <c r="Y23" s="343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8"/>
      <c r="Q24" s="1263">
        <f t="shared" ref="Q24:Q36" si="11">B24</f>
        <v>111</v>
      </c>
      <c r="R24" s="667" t="s">
        <v>14</v>
      </c>
      <c r="S24" s="668">
        <f>F24</f>
        <v>100</v>
      </c>
      <c r="T24" s="667" t="s">
        <v>14</v>
      </c>
      <c r="U24" s="668">
        <f>H24</f>
        <v>100</v>
      </c>
      <c r="V24" s="667" t="s">
        <v>14</v>
      </c>
      <c r="W24" s="668">
        <f>J24</f>
        <v>100</v>
      </c>
      <c r="X24" s="1265"/>
      <c r="Y24" s="343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8"/>
      <c r="Q25" s="530">
        <f t="shared" si="11"/>
        <v>111</v>
      </c>
      <c r="R25" s="664" t="s">
        <v>14</v>
      </c>
      <c r="S25" s="665">
        <f>F25</f>
        <v>100</v>
      </c>
      <c r="T25" s="664" t="s">
        <v>14</v>
      </c>
      <c r="U25" s="665">
        <f>H25</f>
        <v>100</v>
      </c>
      <c r="V25" s="664" t="s">
        <v>14</v>
      </c>
      <c r="W25" s="665">
        <f>J25</f>
        <v>100</v>
      </c>
      <c r="X25" s="666"/>
      <c r="Y25" s="343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42"/>
      <c r="Q27" s="531" t="str">
        <f t="shared" si="11"/>
        <v>项目停车位配比</v>
      </c>
      <c r="R27" s="669" t="s">
        <v>14</v>
      </c>
      <c r="S27" s="670">
        <f t="shared" si="12"/>
        <v>100</v>
      </c>
      <c r="T27" s="669" t="s">
        <v>14</v>
      </c>
      <c r="U27" s="670">
        <f t="shared" si="13"/>
        <v>100</v>
      </c>
      <c r="V27" s="669" t="s">
        <v>14</v>
      </c>
      <c r="W27" s="670">
        <f t="shared" si="14"/>
        <v>100</v>
      </c>
      <c r="X27" s="671"/>
      <c r="Y27" s="344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42"/>
      <c r="Q28" s="1263" t="str">
        <f t="shared" si="11"/>
        <v>公共部分装修</v>
      </c>
      <c r="R28" s="667" t="s">
        <v>14</v>
      </c>
      <c r="S28" s="668">
        <f t="shared" si="12"/>
        <v>100</v>
      </c>
      <c r="T28" s="667" t="s">
        <v>14</v>
      </c>
      <c r="U28" s="668">
        <f t="shared" si="13"/>
        <v>100</v>
      </c>
      <c r="V28" s="667" t="s">
        <v>14</v>
      </c>
      <c r="W28" s="668">
        <f t="shared" si="14"/>
        <v>100</v>
      </c>
      <c r="X28" s="1265"/>
      <c r="Y28" s="344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42"/>
      <c r="Q29" s="1263" t="str">
        <f t="shared" si="11"/>
        <v>成新率</v>
      </c>
      <c r="R29" s="667" t="s">
        <v>14</v>
      </c>
      <c r="S29" s="668" t="e">
        <f t="shared" si="12"/>
        <v>#N/A</v>
      </c>
      <c r="T29" s="667" t="s">
        <v>14</v>
      </c>
      <c r="U29" s="668" t="e">
        <f t="shared" si="13"/>
        <v>#N/A</v>
      </c>
      <c r="V29" s="667" t="s">
        <v>14</v>
      </c>
      <c r="W29" s="668" t="e">
        <f t="shared" si="14"/>
        <v>#N/A</v>
      </c>
      <c r="X29" s="1265"/>
      <c r="Y29" s="344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42"/>
      <c r="Q30" s="1263" t="str">
        <f t="shared" si="11"/>
        <v>物业等级</v>
      </c>
      <c r="R30" s="667" t="s">
        <v>14</v>
      </c>
      <c r="S30" s="668">
        <f t="shared" si="12"/>
        <v>100</v>
      </c>
      <c r="T30" s="667" t="s">
        <v>14</v>
      </c>
      <c r="U30" s="668">
        <f t="shared" si="13"/>
        <v>100</v>
      </c>
      <c r="V30" s="667" t="s">
        <v>14</v>
      </c>
      <c r="W30" s="668">
        <f t="shared" si="14"/>
        <v>100</v>
      </c>
      <c r="X30" s="1265"/>
      <c r="Y30" s="344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42"/>
      <c r="Q31" s="530" t="str">
        <f t="shared" si="11"/>
        <v>停车位面积</v>
      </c>
      <c r="R31" s="664" t="s">
        <v>14</v>
      </c>
      <c r="S31" s="665" t="e">
        <f t="shared" si="12"/>
        <v>#N/A</v>
      </c>
      <c r="T31" s="664" t="s">
        <v>14</v>
      </c>
      <c r="U31" s="665" t="e">
        <f t="shared" si="13"/>
        <v>#N/A</v>
      </c>
      <c r="V31" s="664" t="s">
        <v>14</v>
      </c>
      <c r="W31" s="665" t="e">
        <f t="shared" si="14"/>
        <v>#N/A</v>
      </c>
      <c r="X31" s="666"/>
      <c r="Y31" s="344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42" t="s">
        <v>1696</v>
      </c>
      <c r="Q32" s="1263" t="str">
        <f t="shared" si="11"/>
        <v>车位类型</v>
      </c>
      <c r="R32" s="667" t="s">
        <v>14</v>
      </c>
      <c r="S32" s="668">
        <f t="shared" si="12"/>
        <v>100</v>
      </c>
      <c r="T32" s="667" t="s">
        <v>14</v>
      </c>
      <c r="U32" s="668">
        <f t="shared" si="13"/>
        <v>100</v>
      </c>
      <c r="V32" s="667" t="s">
        <v>14</v>
      </c>
      <c r="W32" s="668">
        <f t="shared" si="14"/>
        <v>100</v>
      </c>
      <c r="X32" s="1265"/>
      <c r="Y32" s="344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42"/>
      <c r="Q33" s="1263" t="str">
        <f t="shared" si="11"/>
        <v>是否直接入户</v>
      </c>
      <c r="R33" s="667" t="s">
        <v>14</v>
      </c>
      <c r="S33" s="668">
        <f t="shared" si="12"/>
        <v>100</v>
      </c>
      <c r="T33" s="667" t="s">
        <v>14</v>
      </c>
      <c r="U33" s="668">
        <f t="shared" si="13"/>
        <v>100</v>
      </c>
      <c r="V33" s="667" t="s">
        <v>14</v>
      </c>
      <c r="W33" s="668">
        <f t="shared" si="14"/>
        <v>100</v>
      </c>
      <c r="X33" s="1265"/>
      <c r="Y33" s="344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42"/>
      <c r="Q34" s="1263">
        <f t="shared" si="11"/>
        <v>111</v>
      </c>
      <c r="R34" s="667" t="s">
        <v>14</v>
      </c>
      <c r="S34" s="668">
        <f t="shared" si="12"/>
        <v>100</v>
      </c>
      <c r="T34" s="667" t="s">
        <v>14</v>
      </c>
      <c r="U34" s="668">
        <f t="shared" si="13"/>
        <v>100</v>
      </c>
      <c r="V34" s="667" t="s">
        <v>14</v>
      </c>
      <c r="W34" s="668">
        <f t="shared" si="14"/>
        <v>100</v>
      </c>
      <c r="X34" s="1265"/>
      <c r="Y34" s="344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42"/>
      <c r="Q35" s="531">
        <f t="shared" si="11"/>
        <v>111</v>
      </c>
      <c r="R35" s="669" t="s">
        <v>14</v>
      </c>
      <c r="S35" s="670">
        <f t="shared" si="12"/>
        <v>100</v>
      </c>
      <c r="T35" s="669" t="s">
        <v>14</v>
      </c>
      <c r="U35" s="670">
        <f t="shared" si="13"/>
        <v>100</v>
      </c>
      <c r="V35" s="669" t="s">
        <v>14</v>
      </c>
      <c r="W35" s="670">
        <f t="shared" si="14"/>
        <v>100</v>
      </c>
      <c r="X35" s="671"/>
      <c r="Y35" s="344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42"/>
      <c r="Q36" s="1263">
        <f t="shared" si="11"/>
        <v>111</v>
      </c>
      <c r="R36" s="667" t="s">
        <v>14</v>
      </c>
      <c r="S36" s="668">
        <f t="shared" si="12"/>
        <v>100</v>
      </c>
      <c r="T36" s="667" t="s">
        <v>14</v>
      </c>
      <c r="U36" s="668">
        <f t="shared" si="13"/>
        <v>100</v>
      </c>
      <c r="V36" s="667" t="s">
        <v>14</v>
      </c>
      <c r="W36" s="668">
        <f t="shared" si="14"/>
        <v>100</v>
      </c>
      <c r="X36" s="1265"/>
      <c r="Y36" s="3442"/>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36" t="str">
        <f>A37</f>
        <v>成交单价</v>
      </c>
      <c r="Q37" s="3436"/>
      <c r="R37" s="3431">
        <f>E37</f>
        <v>0</v>
      </c>
      <c r="S37" s="3431"/>
      <c r="T37" s="3431">
        <f>G37</f>
        <v>0</v>
      </c>
      <c r="U37" s="3431"/>
      <c r="V37" s="3431">
        <f>I37</f>
        <v>0</v>
      </c>
      <c r="W37" s="343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6" t="str">
        <f>A38</f>
        <v>比较价值（元/平方米）</v>
      </c>
      <c r="Q38" s="3436"/>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33" t="str">
        <f>A39</f>
        <v>估价对象XX用房的比较价值（楼面单价，元/平方米）</v>
      </c>
      <c r="Q39" s="3434"/>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45862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4" t="s">
        <v>1680</v>
      </c>
      <c r="Q7" s="3432"/>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6" t="s">
        <v>1686</v>
      </c>
      <c r="Q9" s="530" t="str">
        <f t="shared" ref="Q9:Q14" si="6">B9</f>
        <v>用途</v>
      </c>
      <c r="R9" s="664" t="s">
        <v>14</v>
      </c>
      <c r="S9" s="665">
        <f t="shared" si="0"/>
        <v>100</v>
      </c>
      <c r="T9" s="664" t="s">
        <v>14</v>
      </c>
      <c r="U9" s="665">
        <f t="shared" si="1"/>
        <v>100</v>
      </c>
      <c r="V9" s="664" t="s">
        <v>14</v>
      </c>
      <c r="W9" s="665">
        <f t="shared" si="2"/>
        <v>100</v>
      </c>
      <c r="X9" s="666"/>
      <c r="Y9" s="332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6"/>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7" t="s">
        <v>1691</v>
      </c>
      <c r="Q14" s="1263" t="str">
        <f t="shared" si="6"/>
        <v>交通便捷度</v>
      </c>
      <c r="R14" s="667" t="s">
        <v>14</v>
      </c>
      <c r="S14" s="668">
        <f t="shared" si="0"/>
        <v>100</v>
      </c>
      <c r="T14" s="667" t="s">
        <v>14</v>
      </c>
      <c r="U14" s="668">
        <f t="shared" si="1"/>
        <v>100</v>
      </c>
      <c r="V14" s="667" t="s">
        <v>14</v>
      </c>
      <c r="W14" s="668">
        <f t="shared" si="2"/>
        <v>100</v>
      </c>
      <c r="X14" s="1265"/>
      <c r="Y14" s="343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8"/>
      <c r="Q15" s="1263"/>
      <c r="R15" s="667"/>
      <c r="S15" s="668"/>
      <c r="T15" s="667"/>
      <c r="U15" s="668"/>
      <c r="V15" s="667"/>
      <c r="W15" s="668"/>
      <c r="X15" s="1265"/>
      <c r="Y15" s="343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8"/>
      <c r="Q16" s="1263" t="str">
        <f>B16</f>
        <v>公共配套设施</v>
      </c>
      <c r="R16" s="667" t="s">
        <v>14</v>
      </c>
      <c r="S16" s="668">
        <f>F16</f>
        <v>100</v>
      </c>
      <c r="T16" s="667" t="s">
        <v>14</v>
      </c>
      <c r="U16" s="668">
        <f>H16</f>
        <v>100</v>
      </c>
      <c r="V16" s="667" t="s">
        <v>14</v>
      </c>
      <c r="W16" s="668">
        <f>J16</f>
        <v>100</v>
      </c>
      <c r="X16" s="1265"/>
      <c r="Y16" s="343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8"/>
      <c r="Q17" s="1263"/>
      <c r="R17" s="667"/>
      <c r="S17" s="668"/>
      <c r="T17" s="667"/>
      <c r="U17" s="668"/>
      <c r="V17" s="667"/>
      <c r="W17" s="668"/>
      <c r="X17" s="1265"/>
      <c r="Y17" s="343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8"/>
      <c r="Q18" s="1263" t="str">
        <f>B18</f>
        <v>基础设施水平</v>
      </c>
      <c r="R18" s="667" t="s">
        <v>14</v>
      </c>
      <c r="S18" s="668">
        <f>F18</f>
        <v>100</v>
      </c>
      <c r="T18" s="667" t="s">
        <v>14</v>
      </c>
      <c r="U18" s="668">
        <f>H18</f>
        <v>100</v>
      </c>
      <c r="V18" s="667" t="s">
        <v>14</v>
      </c>
      <c r="W18" s="668">
        <f>J18</f>
        <v>100</v>
      </c>
      <c r="X18" s="1265"/>
      <c r="Y18" s="343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8"/>
      <c r="Q19" s="1263"/>
      <c r="R19" s="667"/>
      <c r="S19" s="668"/>
      <c r="T19" s="667"/>
      <c r="U19" s="668"/>
      <c r="V19" s="667"/>
      <c r="W19" s="668"/>
      <c r="X19" s="1265"/>
      <c r="Y19" s="343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8"/>
      <c r="Q20" s="1263" t="str">
        <f>B20</f>
        <v>自然及人文环境</v>
      </c>
      <c r="R20" s="667" t="s">
        <v>14</v>
      </c>
      <c r="S20" s="668">
        <f>F20</f>
        <v>100</v>
      </c>
      <c r="T20" s="667" t="s">
        <v>14</v>
      </c>
      <c r="U20" s="668">
        <f>H20</f>
        <v>100</v>
      </c>
      <c r="V20" s="667" t="s">
        <v>14</v>
      </c>
      <c r="W20" s="668">
        <f>J20</f>
        <v>100</v>
      </c>
      <c r="X20" s="1265"/>
      <c r="Y20" s="343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8"/>
      <c r="Q21" s="1263"/>
      <c r="R21" s="667"/>
      <c r="S21" s="668"/>
      <c r="T21" s="667"/>
      <c r="U21" s="668"/>
      <c r="V21" s="667"/>
      <c r="W21" s="668"/>
      <c r="X21" s="1265"/>
      <c r="Y21" s="343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8"/>
      <c r="Q22" s="1263" t="str">
        <f>B22</f>
        <v>楼层</v>
      </c>
      <c r="R22" s="667" t="s">
        <v>14</v>
      </c>
      <c r="S22" s="668">
        <f>F22</f>
        <v>100</v>
      </c>
      <c r="T22" s="667" t="s">
        <v>14</v>
      </c>
      <c r="U22" s="668">
        <f>H22</f>
        <v>100</v>
      </c>
      <c r="V22" s="667" t="s">
        <v>14</v>
      </c>
      <c r="W22" s="668">
        <f>J22</f>
        <v>100</v>
      </c>
      <c r="X22" s="1265"/>
      <c r="Y22" s="343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8"/>
      <c r="Q23" s="1263">
        <f>B23</f>
        <v>111</v>
      </c>
      <c r="R23" s="667" t="s">
        <v>14</v>
      </c>
      <c r="S23" s="668">
        <f>F23</f>
        <v>100</v>
      </c>
      <c r="T23" s="667" t="s">
        <v>14</v>
      </c>
      <c r="U23" s="668">
        <f>H23</f>
        <v>100</v>
      </c>
      <c r="V23" s="667" t="s">
        <v>14</v>
      </c>
      <c r="W23" s="668">
        <f>J23</f>
        <v>100</v>
      </c>
      <c r="X23" s="1265"/>
      <c r="Y23" s="343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8"/>
      <c r="Q24" s="1263">
        <f t="shared" ref="Q24:Q34" si="11">B24</f>
        <v>111</v>
      </c>
      <c r="R24" s="667" t="s">
        <v>14</v>
      </c>
      <c r="S24" s="668">
        <f>F24</f>
        <v>100</v>
      </c>
      <c r="T24" s="667" t="s">
        <v>14</v>
      </c>
      <c r="U24" s="668">
        <f>H24</f>
        <v>100</v>
      </c>
      <c r="V24" s="667" t="s">
        <v>14</v>
      </c>
      <c r="W24" s="668">
        <f>J24</f>
        <v>100</v>
      </c>
      <c r="X24" s="1265"/>
      <c r="Y24" s="343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8"/>
      <c r="Q25" s="530">
        <f t="shared" si="11"/>
        <v>111</v>
      </c>
      <c r="R25" s="664" t="s">
        <v>14</v>
      </c>
      <c r="S25" s="665">
        <f>F25</f>
        <v>100</v>
      </c>
      <c r="T25" s="664" t="s">
        <v>14</v>
      </c>
      <c r="U25" s="665">
        <f>H25</f>
        <v>100</v>
      </c>
      <c r="V25" s="664" t="s">
        <v>14</v>
      </c>
      <c r="W25" s="665">
        <f>J25</f>
        <v>100</v>
      </c>
      <c r="X25" s="666"/>
      <c r="Y25" s="343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42"/>
      <c r="Q27" s="531" t="str">
        <f t="shared" si="11"/>
        <v>成新率</v>
      </c>
      <c r="R27" s="669" t="s">
        <v>14</v>
      </c>
      <c r="S27" s="670" t="e">
        <f t="shared" si="12"/>
        <v>#N/A</v>
      </c>
      <c r="T27" s="669" t="s">
        <v>14</v>
      </c>
      <c r="U27" s="670" t="e">
        <f t="shared" si="13"/>
        <v>#N/A</v>
      </c>
      <c r="V27" s="669" t="s">
        <v>14</v>
      </c>
      <c r="W27" s="670" t="e">
        <f t="shared" si="14"/>
        <v>#N/A</v>
      </c>
      <c r="X27" s="671"/>
      <c r="Y27" s="344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42"/>
      <c r="Q28" s="1263" t="str">
        <f t="shared" si="11"/>
        <v>物业等级</v>
      </c>
      <c r="R28" s="667" t="s">
        <v>14</v>
      </c>
      <c r="S28" s="668">
        <f t="shared" si="12"/>
        <v>100</v>
      </c>
      <c r="T28" s="667" t="s">
        <v>14</v>
      </c>
      <c r="U28" s="668">
        <f t="shared" si="13"/>
        <v>100</v>
      </c>
      <c r="V28" s="667" t="s">
        <v>14</v>
      </c>
      <c r="W28" s="668">
        <f t="shared" si="14"/>
        <v>100</v>
      </c>
      <c r="X28" s="1265"/>
      <c r="Y28" s="344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42"/>
      <c r="Q29" s="1263" t="str">
        <f t="shared" si="11"/>
        <v>有无电梯</v>
      </c>
      <c r="R29" s="667" t="s">
        <v>14</v>
      </c>
      <c r="S29" s="668">
        <f t="shared" si="12"/>
        <v>100</v>
      </c>
      <c r="T29" s="667" t="s">
        <v>14</v>
      </c>
      <c r="U29" s="668">
        <f t="shared" si="13"/>
        <v>100</v>
      </c>
      <c r="V29" s="667" t="s">
        <v>14</v>
      </c>
      <c r="W29" s="668">
        <f t="shared" si="14"/>
        <v>100</v>
      </c>
      <c r="X29" s="1265"/>
      <c r="Y29" s="344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42"/>
      <c r="Q30" s="1263" t="str">
        <f t="shared" si="11"/>
        <v>建筑面积</v>
      </c>
      <c r="R30" s="667" t="s">
        <v>14</v>
      </c>
      <c r="S30" s="668" t="e">
        <f t="shared" si="12"/>
        <v>#N/A</v>
      </c>
      <c r="T30" s="667" t="s">
        <v>14</v>
      </c>
      <c r="U30" s="668" t="e">
        <f t="shared" si="13"/>
        <v>#N/A</v>
      </c>
      <c r="V30" s="667" t="s">
        <v>14</v>
      </c>
      <c r="W30" s="668" t="e">
        <f t="shared" si="14"/>
        <v>#N/A</v>
      </c>
      <c r="X30" s="1265"/>
      <c r="Y30" s="344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42"/>
      <c r="Q31" s="530" t="str">
        <f t="shared" si="11"/>
        <v>是否封闭</v>
      </c>
      <c r="R31" s="664" t="s">
        <v>14</v>
      </c>
      <c r="S31" s="665">
        <f t="shared" si="12"/>
        <v>100</v>
      </c>
      <c r="T31" s="664" t="s">
        <v>14</v>
      </c>
      <c r="U31" s="665">
        <f t="shared" si="13"/>
        <v>100</v>
      </c>
      <c r="V31" s="664" t="s">
        <v>14</v>
      </c>
      <c r="W31" s="665">
        <f t="shared" si="14"/>
        <v>100</v>
      </c>
      <c r="X31" s="666"/>
      <c r="Y31" s="344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42" t="s">
        <v>1696</v>
      </c>
      <c r="Q32" s="1263">
        <f t="shared" si="11"/>
        <v>111</v>
      </c>
      <c r="R32" s="667" t="s">
        <v>14</v>
      </c>
      <c r="S32" s="668">
        <f t="shared" si="12"/>
        <v>100</v>
      </c>
      <c r="T32" s="667" t="s">
        <v>14</v>
      </c>
      <c r="U32" s="668">
        <f t="shared" si="13"/>
        <v>100</v>
      </c>
      <c r="V32" s="667" t="s">
        <v>14</v>
      </c>
      <c r="W32" s="668">
        <f t="shared" si="14"/>
        <v>100</v>
      </c>
      <c r="X32" s="1265"/>
      <c r="Y32" s="344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42"/>
      <c r="Q33" s="1263">
        <f t="shared" si="11"/>
        <v>111</v>
      </c>
      <c r="R33" s="667" t="s">
        <v>14</v>
      </c>
      <c r="S33" s="668">
        <f t="shared" si="12"/>
        <v>100</v>
      </c>
      <c r="T33" s="667" t="s">
        <v>14</v>
      </c>
      <c r="U33" s="668">
        <f t="shared" si="13"/>
        <v>100</v>
      </c>
      <c r="V33" s="667" t="s">
        <v>14</v>
      </c>
      <c r="W33" s="668">
        <f t="shared" si="14"/>
        <v>100</v>
      </c>
      <c r="X33" s="1265"/>
      <c r="Y33" s="344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42"/>
      <c r="Q34" s="1263">
        <f t="shared" si="11"/>
        <v>111</v>
      </c>
      <c r="R34" s="667" t="s">
        <v>14</v>
      </c>
      <c r="S34" s="668">
        <f t="shared" si="12"/>
        <v>100</v>
      </c>
      <c r="T34" s="667" t="s">
        <v>14</v>
      </c>
      <c r="U34" s="668">
        <f t="shared" si="13"/>
        <v>100</v>
      </c>
      <c r="V34" s="667" t="s">
        <v>14</v>
      </c>
      <c r="W34" s="668">
        <f t="shared" si="14"/>
        <v>100</v>
      </c>
      <c r="X34" s="1265"/>
      <c r="Y34" s="344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6" t="str">
        <f>A35</f>
        <v>成交单价（元/平方米）</v>
      </c>
      <c r="Q35" s="3436"/>
      <c r="R35" s="3431">
        <f>E35</f>
        <v>0</v>
      </c>
      <c r="S35" s="3431"/>
      <c r="T35" s="3431">
        <f>G35</f>
        <v>0</v>
      </c>
      <c r="U35" s="3431"/>
      <c r="V35" s="3431">
        <f>I35</f>
        <v>0</v>
      </c>
      <c r="W35" s="343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6" t="str">
        <f>A36</f>
        <v>比较价值（元/平方米）</v>
      </c>
      <c r="Q36" s="3436"/>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33" t="str">
        <f>A37</f>
        <v>估价对象XX用房的比较价值（楼面单价，元/平方米）</v>
      </c>
      <c r="Q37" s="3434"/>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45862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4" t="s">
        <v>1680</v>
      </c>
      <c r="Q7" s="3432"/>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4" t="s">
        <v>1683</v>
      </c>
      <c r="Q8" s="3405"/>
      <c r="R8" s="664" t="s">
        <v>14</v>
      </c>
      <c r="S8" s="665">
        <f t="shared" si="0"/>
        <v>0</v>
      </c>
      <c r="T8" s="664" t="s">
        <v>14</v>
      </c>
      <c r="U8" s="665">
        <f t="shared" si="1"/>
        <v>0</v>
      </c>
      <c r="V8" s="664" t="s">
        <v>14</v>
      </c>
      <c r="W8" s="665">
        <f t="shared" si="2"/>
        <v>0</v>
      </c>
      <c r="X8" s="666"/>
      <c r="Y8" s="3404" t="s">
        <v>1683</v>
      </c>
      <c r="Z8" s="340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6"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143</v>
      </c>
      <c r="G10" s="402"/>
      <c r="H10" s="119">
        <f>ROUND(100/'数据-取费表'!G16,0)</f>
        <v>143</v>
      </c>
      <c r="I10" s="402"/>
      <c r="J10" s="119">
        <f>ROUND(100/'数据-取费表'!G16,0)</f>
        <v>143</v>
      </c>
      <c r="K10" s="592"/>
      <c r="L10" s="2490"/>
      <c r="M10" s="2491"/>
      <c r="N10" s="2491"/>
      <c r="O10" s="2542"/>
      <c r="P10" s="3436"/>
      <c r="Q10" s="530" t="str">
        <f t="shared" si="6"/>
        <v>土地使用年限（年）</v>
      </c>
      <c r="R10" s="664" t="s">
        <v>14</v>
      </c>
      <c r="S10" s="665">
        <f t="shared" si="0"/>
        <v>143</v>
      </c>
      <c r="T10" s="664" t="s">
        <v>14</v>
      </c>
      <c r="U10" s="665">
        <f t="shared" si="1"/>
        <v>143</v>
      </c>
      <c r="V10" s="664" t="s">
        <v>14</v>
      </c>
      <c r="W10" s="665">
        <f t="shared" si="2"/>
        <v>143</v>
      </c>
      <c r="X10" s="666"/>
      <c r="Y10" s="3329"/>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6"/>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6"/>
      <c r="Q12" s="530" t="str">
        <f t="shared" si="6"/>
        <v>配建</v>
      </c>
      <c r="R12" s="664" t="s">
        <v>14</v>
      </c>
      <c r="S12" s="665">
        <f t="shared" si="0"/>
        <v>100</v>
      </c>
      <c r="T12" s="664" t="s">
        <v>14</v>
      </c>
      <c r="U12" s="665">
        <f t="shared" si="1"/>
        <v>100</v>
      </c>
      <c r="V12" s="664" t="s">
        <v>14</v>
      </c>
      <c r="W12" s="665">
        <f t="shared" si="2"/>
        <v>100</v>
      </c>
      <c r="X12" s="666"/>
      <c r="Y12" s="332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6"/>
      <c r="Q13" s="530">
        <f t="shared" si="6"/>
        <v>111</v>
      </c>
      <c r="R13" s="664" t="s">
        <v>14</v>
      </c>
      <c r="S13" s="665">
        <f t="shared" si="0"/>
        <v>100</v>
      </c>
      <c r="T13" s="664" t="s">
        <v>14</v>
      </c>
      <c r="U13" s="665">
        <f t="shared" si="1"/>
        <v>100</v>
      </c>
      <c r="V13" s="664" t="s">
        <v>14</v>
      </c>
      <c r="W13" s="665">
        <f t="shared" si="2"/>
        <v>100</v>
      </c>
      <c r="X13" s="666"/>
      <c r="Y13" s="332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6"/>
      <c r="Q14" s="530">
        <f t="shared" si="6"/>
        <v>111</v>
      </c>
      <c r="R14" s="664" t="s">
        <v>14</v>
      </c>
      <c r="S14" s="665">
        <f t="shared" si="0"/>
        <v>100</v>
      </c>
      <c r="T14" s="664" t="s">
        <v>14</v>
      </c>
      <c r="U14" s="665">
        <f t="shared" si="1"/>
        <v>100</v>
      </c>
      <c r="V14" s="664" t="s">
        <v>14</v>
      </c>
      <c r="W14" s="665">
        <f t="shared" si="2"/>
        <v>100</v>
      </c>
      <c r="X14" s="666"/>
      <c r="Y14" s="332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7" t="s">
        <v>1691</v>
      </c>
      <c r="Q15" s="1263" t="str">
        <f t="shared" si="6"/>
        <v>居住社区成熟度</v>
      </c>
      <c r="R15" s="667" t="s">
        <v>14</v>
      </c>
      <c r="S15" s="668">
        <f t="shared" si="0"/>
        <v>100</v>
      </c>
      <c r="T15" s="667" t="s">
        <v>14</v>
      </c>
      <c r="U15" s="668">
        <f t="shared" si="1"/>
        <v>100</v>
      </c>
      <c r="V15" s="667" t="s">
        <v>14</v>
      </c>
      <c r="W15" s="668">
        <f t="shared" si="2"/>
        <v>100</v>
      </c>
      <c r="X15" s="1265"/>
      <c r="Y15" s="343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8"/>
      <c r="Q16" s="1263"/>
      <c r="R16" s="667"/>
      <c r="S16" s="668"/>
      <c r="T16" s="667"/>
      <c r="U16" s="668"/>
      <c r="V16" s="667"/>
      <c r="W16" s="668"/>
      <c r="X16" s="1265"/>
      <c r="Y16" s="343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8"/>
      <c r="Q17" s="1263" t="str">
        <f>B17</f>
        <v>商业繁华度</v>
      </c>
      <c r="R17" s="667" t="s">
        <v>14</v>
      </c>
      <c r="S17" s="668">
        <f>F17</f>
        <v>100</v>
      </c>
      <c r="T17" s="667" t="s">
        <v>14</v>
      </c>
      <c r="U17" s="668">
        <f>H17</f>
        <v>100</v>
      </c>
      <c r="V17" s="667" t="s">
        <v>14</v>
      </c>
      <c r="W17" s="668">
        <f>J17</f>
        <v>100</v>
      </c>
      <c r="X17" s="1265"/>
      <c r="Y17" s="343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8"/>
      <c r="Q18" s="1263"/>
      <c r="R18" s="667"/>
      <c r="S18" s="668"/>
      <c r="T18" s="667"/>
      <c r="U18" s="668"/>
      <c r="V18" s="667"/>
      <c r="W18" s="668"/>
      <c r="X18" s="1265"/>
      <c r="Y18" s="343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8"/>
      <c r="Q19" s="1263" t="str">
        <f>B19</f>
        <v>办公集聚程度</v>
      </c>
      <c r="R19" s="667" t="s">
        <v>14</v>
      </c>
      <c r="S19" s="668">
        <f>F19</f>
        <v>100</v>
      </c>
      <c r="T19" s="667" t="s">
        <v>14</v>
      </c>
      <c r="U19" s="668">
        <f>H19</f>
        <v>100</v>
      </c>
      <c r="V19" s="667" t="s">
        <v>14</v>
      </c>
      <c r="W19" s="668">
        <f>J19</f>
        <v>100</v>
      </c>
      <c r="X19" s="1265"/>
      <c r="Y19" s="343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8"/>
      <c r="Q20" s="1263"/>
      <c r="R20" s="667"/>
      <c r="S20" s="668"/>
      <c r="T20" s="667"/>
      <c r="U20" s="668"/>
      <c r="V20" s="667"/>
      <c r="W20" s="668"/>
      <c r="X20" s="1265"/>
      <c r="Y20" s="343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8"/>
      <c r="Q21" s="1263" t="str">
        <f>B21</f>
        <v>交通便捷度</v>
      </c>
      <c r="R21" s="667" t="s">
        <v>14</v>
      </c>
      <c r="S21" s="668">
        <f>F21</f>
        <v>100</v>
      </c>
      <c r="T21" s="667" t="s">
        <v>14</v>
      </c>
      <c r="U21" s="668">
        <f>H21</f>
        <v>100</v>
      </c>
      <c r="V21" s="667" t="s">
        <v>14</v>
      </c>
      <c r="W21" s="668">
        <f>J21</f>
        <v>100</v>
      </c>
      <c r="X21" s="1265"/>
      <c r="Y21" s="343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8"/>
      <c r="Q22" s="1263"/>
      <c r="R22" s="667"/>
      <c r="S22" s="668"/>
      <c r="T22" s="667"/>
      <c r="U22" s="668"/>
      <c r="V22" s="667"/>
      <c r="W22" s="668"/>
      <c r="X22" s="1265"/>
      <c r="Y22" s="343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8"/>
      <c r="Q23" s="1263" t="str">
        <f t="shared" ref="Q23:Q37" si="8">B23</f>
        <v>区域土地利用方向</v>
      </c>
      <c r="R23" s="667" t="s">
        <v>14</v>
      </c>
      <c r="S23" s="668">
        <f>F23</f>
        <v>100</v>
      </c>
      <c r="T23" s="667" t="s">
        <v>14</v>
      </c>
      <c r="U23" s="668">
        <f>H23</f>
        <v>100</v>
      </c>
      <c r="V23" s="667" t="s">
        <v>14</v>
      </c>
      <c r="W23" s="668">
        <f>J23</f>
        <v>100</v>
      </c>
      <c r="X23" s="1265"/>
      <c r="Y23" s="343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8"/>
      <c r="Q24" s="1263"/>
      <c r="R24" s="667"/>
      <c r="S24" s="668"/>
      <c r="T24" s="667"/>
      <c r="U24" s="668"/>
      <c r="V24" s="667"/>
      <c r="W24" s="668"/>
      <c r="X24" s="1265"/>
      <c r="Y24" s="343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8"/>
      <c r="Q25" s="1263" t="str">
        <f t="shared" si="8"/>
        <v>自然及人文环境状况</v>
      </c>
      <c r="R25" s="667" t="s">
        <v>14</v>
      </c>
      <c r="S25" s="668">
        <f>F25</f>
        <v>100</v>
      </c>
      <c r="T25" s="667" t="s">
        <v>14</v>
      </c>
      <c r="U25" s="668">
        <f>H25</f>
        <v>100</v>
      </c>
      <c r="V25" s="667" t="s">
        <v>14</v>
      </c>
      <c r="W25" s="668">
        <f>J25</f>
        <v>100</v>
      </c>
      <c r="X25" s="1265"/>
      <c r="Y25" s="343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8"/>
      <c r="Q26" s="1263"/>
      <c r="R26" s="667"/>
      <c r="S26" s="668"/>
      <c r="T26" s="667"/>
      <c r="U26" s="668"/>
      <c r="V26" s="667"/>
      <c r="W26" s="668"/>
      <c r="X26" s="1265"/>
      <c r="Y26" s="343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8"/>
      <c r="Q27" s="530" t="str">
        <f t="shared" si="8"/>
        <v>公共配套设施</v>
      </c>
      <c r="R27" s="664" t="s">
        <v>14</v>
      </c>
      <c r="S27" s="665">
        <f>F27</f>
        <v>100</v>
      </c>
      <c r="T27" s="664" t="s">
        <v>14</v>
      </c>
      <c r="U27" s="665">
        <f>H27</f>
        <v>100</v>
      </c>
      <c r="V27" s="664" t="s">
        <v>14</v>
      </c>
      <c r="W27" s="665">
        <f>J27</f>
        <v>100</v>
      </c>
      <c r="X27" s="666"/>
      <c r="Y27" s="343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8"/>
      <c r="Q28" s="530"/>
      <c r="R28" s="664"/>
      <c r="S28" s="665"/>
      <c r="T28" s="664"/>
      <c r="U28" s="665"/>
      <c r="V28" s="664"/>
      <c r="W28" s="665"/>
      <c r="X28" s="666"/>
      <c r="Y28" s="343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8"/>
      <c r="Q29" s="530" t="str">
        <f t="shared" ref="Q29" si="9">B29</f>
        <v>基础设施水平</v>
      </c>
      <c r="R29" s="664" t="s">
        <v>14</v>
      </c>
      <c r="S29" s="665">
        <f>F29</f>
        <v>100</v>
      </c>
      <c r="T29" s="664" t="s">
        <v>14</v>
      </c>
      <c r="U29" s="665">
        <f>H29</f>
        <v>100</v>
      </c>
      <c r="V29" s="664" t="s">
        <v>14</v>
      </c>
      <c r="W29" s="665">
        <f>J29</f>
        <v>100</v>
      </c>
      <c r="X29" s="666"/>
      <c r="Y29" s="343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8"/>
      <c r="Q30" s="530"/>
      <c r="R30" s="664"/>
      <c r="S30" s="665"/>
      <c r="T30" s="664"/>
      <c r="U30" s="665"/>
      <c r="V30" s="664"/>
      <c r="W30" s="665"/>
      <c r="X30" s="666"/>
      <c r="Y30" s="343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8"/>
      <c r="Q32" s="1263" t="str">
        <f t="shared" si="8"/>
        <v>毗邻道路的类型与等级</v>
      </c>
      <c r="R32" s="667" t="s">
        <v>14</v>
      </c>
      <c r="S32" s="668">
        <f t="shared" si="10"/>
        <v>100</v>
      </c>
      <c r="T32" s="667" t="s">
        <v>14</v>
      </c>
      <c r="U32" s="668">
        <f t="shared" si="11"/>
        <v>100</v>
      </c>
      <c r="V32" s="667" t="s">
        <v>14</v>
      </c>
      <c r="W32" s="668">
        <f t="shared" si="12"/>
        <v>100</v>
      </c>
      <c r="X32" s="1265"/>
      <c r="Y32" s="343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8"/>
      <c r="Q33" s="1263"/>
      <c r="R33" s="667"/>
      <c r="S33" s="668"/>
      <c r="T33" s="667"/>
      <c r="U33" s="668"/>
      <c r="V33" s="667"/>
      <c r="W33" s="668"/>
      <c r="X33" s="1265"/>
      <c r="Y33" s="343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8"/>
      <c r="Q34" s="1263" t="str">
        <f t="shared" si="8"/>
        <v>土地级别</v>
      </c>
      <c r="R34" s="667" t="s">
        <v>14</v>
      </c>
      <c r="S34" s="668">
        <f t="shared" si="10"/>
        <v>100</v>
      </c>
      <c r="T34" s="667" t="s">
        <v>14</v>
      </c>
      <c r="U34" s="668">
        <f t="shared" si="11"/>
        <v>100</v>
      </c>
      <c r="V34" s="667" t="s">
        <v>14</v>
      </c>
      <c r="W34" s="668">
        <f t="shared" si="12"/>
        <v>100</v>
      </c>
      <c r="X34" s="1265"/>
      <c r="Y34" s="343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8"/>
      <c r="Q35" s="1263">
        <f t="shared" si="8"/>
        <v>111</v>
      </c>
      <c r="R35" s="667" t="s">
        <v>14</v>
      </c>
      <c r="S35" s="668">
        <f t="shared" si="10"/>
        <v>100</v>
      </c>
      <c r="T35" s="667" t="s">
        <v>14</v>
      </c>
      <c r="U35" s="668">
        <f t="shared" si="11"/>
        <v>100</v>
      </c>
      <c r="V35" s="667" t="s">
        <v>14</v>
      </c>
      <c r="W35" s="668">
        <f t="shared" si="12"/>
        <v>100</v>
      </c>
      <c r="X35" s="1265"/>
      <c r="Y35" s="343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1" t="s">
        <v>1696</v>
      </c>
      <c r="Q36" s="1263">
        <f t="shared" si="8"/>
        <v>111</v>
      </c>
      <c r="R36" s="667" t="s">
        <v>14</v>
      </c>
      <c r="S36" s="668">
        <f t="shared" si="10"/>
        <v>100</v>
      </c>
      <c r="T36" s="667" t="s">
        <v>14</v>
      </c>
      <c r="U36" s="668">
        <f t="shared" si="11"/>
        <v>100</v>
      </c>
      <c r="V36" s="667" t="s">
        <v>14</v>
      </c>
      <c r="W36" s="668">
        <f t="shared" si="12"/>
        <v>100</v>
      </c>
      <c r="X36" s="1265"/>
      <c r="Y36" s="344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42"/>
      <c r="Q37" s="1263">
        <f t="shared" si="8"/>
        <v>111</v>
      </c>
      <c r="R37" s="669" t="s">
        <v>14</v>
      </c>
      <c r="S37" s="670">
        <f t="shared" si="10"/>
        <v>100</v>
      </c>
      <c r="T37" s="669" t="s">
        <v>14</v>
      </c>
      <c r="U37" s="670">
        <f t="shared" si="11"/>
        <v>100</v>
      </c>
      <c r="V37" s="669" t="s">
        <v>14</v>
      </c>
      <c r="W37" s="670">
        <f t="shared" si="12"/>
        <v>100</v>
      </c>
      <c r="X37" s="671"/>
      <c r="Y37" s="344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42"/>
      <c r="Q38" s="1263" t="str">
        <f>B38</f>
        <v>宗地面积</v>
      </c>
      <c r="R38" s="667" t="s">
        <v>14</v>
      </c>
      <c r="S38" s="668" t="e">
        <f t="shared" si="10"/>
        <v>#N/A</v>
      </c>
      <c r="T38" s="667" t="s">
        <v>14</v>
      </c>
      <c r="U38" s="668" t="e">
        <f t="shared" si="11"/>
        <v>#N/A</v>
      </c>
      <c r="V38" s="667" t="s">
        <v>14</v>
      </c>
      <c r="W38" s="668" t="e">
        <f t="shared" si="12"/>
        <v>#N/A</v>
      </c>
      <c r="X38" s="1265"/>
      <c r="Y38" s="344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42"/>
      <c r="Q39" s="1263" t="str">
        <f t="shared" ref="Q39:Q45" si="14">B39</f>
        <v>宗地形状</v>
      </c>
      <c r="R39" s="667" t="s">
        <v>14</v>
      </c>
      <c r="S39" s="668">
        <f t="shared" si="10"/>
        <v>100</v>
      </c>
      <c r="T39" s="667" t="s">
        <v>14</v>
      </c>
      <c r="U39" s="668">
        <f t="shared" si="11"/>
        <v>100</v>
      </c>
      <c r="V39" s="667" t="s">
        <v>14</v>
      </c>
      <c r="W39" s="668">
        <f t="shared" si="12"/>
        <v>100</v>
      </c>
      <c r="X39" s="1265"/>
      <c r="Y39" s="344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42"/>
      <c r="Q40" s="1263" t="str">
        <f t="shared" si="14"/>
        <v>临街宽度及深度</v>
      </c>
      <c r="R40" s="667" t="s">
        <v>14</v>
      </c>
      <c r="S40" s="668">
        <f t="shared" si="10"/>
        <v>100</v>
      </c>
      <c r="T40" s="667" t="s">
        <v>14</v>
      </c>
      <c r="U40" s="668">
        <f t="shared" si="11"/>
        <v>100</v>
      </c>
      <c r="V40" s="667" t="s">
        <v>14</v>
      </c>
      <c r="W40" s="668">
        <f t="shared" si="12"/>
        <v>100</v>
      </c>
      <c r="X40" s="1265"/>
      <c r="Y40" s="344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42"/>
      <c r="Q41" s="1263" t="str">
        <f t="shared" si="14"/>
        <v>宗地开发程度</v>
      </c>
      <c r="R41" s="664" t="s">
        <v>14</v>
      </c>
      <c r="S41" s="665">
        <f t="shared" si="10"/>
        <v>100</v>
      </c>
      <c r="T41" s="664" t="s">
        <v>14</v>
      </c>
      <c r="U41" s="665">
        <f t="shared" si="11"/>
        <v>100</v>
      </c>
      <c r="V41" s="664" t="s">
        <v>14</v>
      </c>
      <c r="W41" s="665">
        <f t="shared" si="12"/>
        <v>100</v>
      </c>
      <c r="X41" s="666"/>
      <c r="Y41" s="344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42" t="s">
        <v>1696</v>
      </c>
      <c r="Q42" s="1263" t="str">
        <f t="shared" si="14"/>
        <v>工程地质条件</v>
      </c>
      <c r="R42" s="667" t="s">
        <v>14</v>
      </c>
      <c r="S42" s="668">
        <f t="shared" si="10"/>
        <v>100</v>
      </c>
      <c r="T42" s="667" t="s">
        <v>14</v>
      </c>
      <c r="U42" s="668">
        <f t="shared" si="11"/>
        <v>100</v>
      </c>
      <c r="V42" s="667" t="s">
        <v>14</v>
      </c>
      <c r="W42" s="668">
        <f t="shared" si="12"/>
        <v>100</v>
      </c>
      <c r="X42" s="1265"/>
      <c r="Y42" s="344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42"/>
      <c r="Q43" s="1263">
        <f t="shared" si="14"/>
        <v>111</v>
      </c>
      <c r="R43" s="667" t="s">
        <v>14</v>
      </c>
      <c r="S43" s="668">
        <f t="shared" si="10"/>
        <v>100</v>
      </c>
      <c r="T43" s="667" t="s">
        <v>14</v>
      </c>
      <c r="U43" s="668">
        <f t="shared" si="11"/>
        <v>100</v>
      </c>
      <c r="V43" s="667" t="s">
        <v>14</v>
      </c>
      <c r="W43" s="668">
        <f t="shared" si="12"/>
        <v>100</v>
      </c>
      <c r="X43" s="1265"/>
      <c r="Y43" s="344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42"/>
      <c r="Q44" s="1263">
        <f t="shared" si="14"/>
        <v>111</v>
      </c>
      <c r="R44" s="667" t="s">
        <v>14</v>
      </c>
      <c r="S44" s="668">
        <f t="shared" si="10"/>
        <v>100</v>
      </c>
      <c r="T44" s="667" t="s">
        <v>14</v>
      </c>
      <c r="U44" s="668">
        <f t="shared" si="11"/>
        <v>100</v>
      </c>
      <c r="V44" s="667" t="s">
        <v>14</v>
      </c>
      <c r="W44" s="668">
        <f t="shared" si="12"/>
        <v>100</v>
      </c>
      <c r="X44" s="1265"/>
      <c r="Y44" s="344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42"/>
      <c r="Q45" s="1263">
        <f t="shared" si="14"/>
        <v>111</v>
      </c>
      <c r="R45" s="669" t="s">
        <v>14</v>
      </c>
      <c r="S45" s="670">
        <f t="shared" si="10"/>
        <v>100</v>
      </c>
      <c r="T45" s="669" t="s">
        <v>14</v>
      </c>
      <c r="U45" s="670">
        <f t="shared" si="11"/>
        <v>100</v>
      </c>
      <c r="V45" s="669" t="s">
        <v>14</v>
      </c>
      <c r="W45" s="670">
        <f t="shared" si="12"/>
        <v>100</v>
      </c>
      <c r="X45" s="671"/>
      <c r="Y45" s="344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6" t="str">
        <f>A46</f>
        <v>成交单价</v>
      </c>
      <c r="Q46" s="3436"/>
      <c r="R46" s="3431">
        <f>E46</f>
        <v>0</v>
      </c>
      <c r="S46" s="3431"/>
      <c r="T46" s="3431">
        <f>G46</f>
        <v>0</v>
      </c>
      <c r="U46" s="3431"/>
      <c r="V46" s="3431">
        <f>I46</f>
        <v>0</v>
      </c>
      <c r="W46" s="343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6" t="str">
        <f>A47</f>
        <v>比较价值（元/平方米）</v>
      </c>
      <c r="Q47" s="3436"/>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33" t="str">
        <f>A48</f>
        <v>估价对象XX用房的比较价值（楼面单价，元/平方米）</v>
      </c>
      <c r="Q48" s="3434"/>
      <c r="R48" s="3464" t="e">
        <f>ROUND(IF(D47="简单平均",AVERAGE(R47:W47),R47*F47+T47*H47+V47*J47),0)</f>
        <v>#DIV/0!</v>
      </c>
      <c r="S48" s="3464"/>
      <c r="T48" s="3464"/>
      <c r="U48" s="3464"/>
      <c r="V48" s="3464"/>
      <c r="W48" s="346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9" t="s">
        <v>1887</v>
      </c>
      <c r="H55" s="346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7160.98</v>
      </c>
      <c r="F56" s="833" t="e">
        <f t="shared" ref="F56:F64" si="15">ROUND(B56*E56/10000,0)</f>
        <v>#DIV/0!</v>
      </c>
      <c r="G56" s="3418"/>
      <c r="H56" s="343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SUMIF(修正!A59:A70,H57,修正!B59:B70)</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SUMIF(修正!A59:A70,H58,修正!C59:C70)</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SUMIF(修正!A59:A70,H59,修正!D59:D70)</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7160.98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66" t="s">
        <v>1919</v>
      </c>
      <c r="D6" s="3467"/>
      <c r="E6" s="3468" t="s">
        <v>1919</v>
      </c>
      <c r="F6" s="3469"/>
      <c r="G6" s="3466" t="s">
        <v>1919</v>
      </c>
      <c r="H6" s="3467"/>
      <c r="I6" s="3466" t="s">
        <v>1919</v>
      </c>
      <c r="J6" s="3467"/>
      <c r="K6" s="537"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45862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4" t="s">
        <v>1680</v>
      </c>
      <c r="Q7" s="3432"/>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4" t="s">
        <v>1683</v>
      </c>
      <c r="Q8" s="3405"/>
      <c r="R8" s="664" t="s">
        <v>14</v>
      </c>
      <c r="S8" s="665">
        <f t="shared" si="0"/>
        <v>0</v>
      </c>
      <c r="T8" s="664" t="s">
        <v>14</v>
      </c>
      <c r="U8" s="665">
        <f t="shared" si="1"/>
        <v>0</v>
      </c>
      <c r="V8" s="664" t="s">
        <v>14</v>
      </c>
      <c r="W8" s="665">
        <f t="shared" si="2"/>
        <v>0</v>
      </c>
      <c r="X8" s="666"/>
      <c r="Y8" s="3404" t="s">
        <v>1683</v>
      </c>
      <c r="Z8" s="340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6"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143</v>
      </c>
      <c r="G10" s="371"/>
      <c r="H10" s="119">
        <f>ROUND(100/'数据-取费表'!G16,0)</f>
        <v>143</v>
      </c>
      <c r="I10" s="371"/>
      <c r="J10" s="119">
        <f>ROUND(100/'数据-取费表'!G16,0)</f>
        <v>143</v>
      </c>
      <c r="K10" s="592"/>
      <c r="L10" s="2490"/>
      <c r="M10" s="2491"/>
      <c r="N10" s="2491"/>
      <c r="O10" s="2542"/>
      <c r="P10" s="3436"/>
      <c r="Q10" s="530" t="str">
        <f t="shared" si="6"/>
        <v>土地使用年限（年）</v>
      </c>
      <c r="R10" s="664" t="s">
        <v>14</v>
      </c>
      <c r="S10" s="665">
        <f t="shared" si="0"/>
        <v>143</v>
      </c>
      <c r="T10" s="664" t="s">
        <v>14</v>
      </c>
      <c r="U10" s="665">
        <f t="shared" si="1"/>
        <v>143</v>
      </c>
      <c r="V10" s="664" t="s">
        <v>14</v>
      </c>
      <c r="W10" s="665">
        <f t="shared" si="2"/>
        <v>143</v>
      </c>
      <c r="X10" s="666"/>
      <c r="Y10" s="3329"/>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6"/>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6"/>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7" t="s">
        <v>1691</v>
      </c>
      <c r="Q15" s="1263" t="str">
        <f t="shared" si="6"/>
        <v>产业集聚程度</v>
      </c>
      <c r="R15" s="667" t="s">
        <v>14</v>
      </c>
      <c r="S15" s="668">
        <f t="shared" si="0"/>
        <v>100</v>
      </c>
      <c r="T15" s="667" t="s">
        <v>14</v>
      </c>
      <c r="U15" s="668">
        <f t="shared" si="1"/>
        <v>100</v>
      </c>
      <c r="V15" s="667" t="s">
        <v>14</v>
      </c>
      <c r="W15" s="668">
        <f t="shared" si="2"/>
        <v>100</v>
      </c>
      <c r="X15" s="1265"/>
      <c r="Y15" s="343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8"/>
      <c r="Q16" s="1263"/>
      <c r="R16" s="667"/>
      <c r="S16" s="668"/>
      <c r="T16" s="667"/>
      <c r="U16" s="668"/>
      <c r="V16" s="667"/>
      <c r="W16" s="668"/>
      <c r="X16" s="1265"/>
      <c r="Y16" s="343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8"/>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8"/>
      <c r="Q18" s="1263"/>
      <c r="R18" s="667"/>
      <c r="S18" s="668"/>
      <c r="T18" s="667"/>
      <c r="U18" s="668"/>
      <c r="V18" s="667"/>
      <c r="W18" s="668"/>
      <c r="X18" s="1265"/>
      <c r="Y18" s="343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8"/>
      <c r="Q19" s="1263" t="str">
        <f t="shared" ref="Q19:Q33" si="8">B19</f>
        <v>区域土地利用方向</v>
      </c>
      <c r="R19" s="667" t="s">
        <v>14</v>
      </c>
      <c r="S19" s="668">
        <f>F19</f>
        <v>100</v>
      </c>
      <c r="T19" s="667" t="s">
        <v>14</v>
      </c>
      <c r="U19" s="668">
        <f>H19</f>
        <v>100</v>
      </c>
      <c r="V19" s="667" t="s">
        <v>14</v>
      </c>
      <c r="W19" s="668">
        <f>J19</f>
        <v>100</v>
      </c>
      <c r="X19" s="1265"/>
      <c r="Y19" s="343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8"/>
      <c r="Q20" s="1263"/>
      <c r="R20" s="667"/>
      <c r="S20" s="668"/>
      <c r="T20" s="667"/>
      <c r="U20" s="668"/>
      <c r="V20" s="667"/>
      <c r="W20" s="668"/>
      <c r="X20" s="1265"/>
      <c r="Y20" s="343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8"/>
      <c r="Q21" s="1263" t="str">
        <f t="shared" si="8"/>
        <v>环境状况</v>
      </c>
      <c r="R21" s="667" t="s">
        <v>14</v>
      </c>
      <c r="S21" s="668">
        <f>F21</f>
        <v>100</v>
      </c>
      <c r="T21" s="667" t="s">
        <v>14</v>
      </c>
      <c r="U21" s="668">
        <f>H21</f>
        <v>100</v>
      </c>
      <c r="V21" s="667" t="s">
        <v>14</v>
      </c>
      <c r="W21" s="668">
        <f>J21</f>
        <v>100</v>
      </c>
      <c r="X21" s="1265"/>
      <c r="Y21" s="343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8"/>
      <c r="Q22" s="1263"/>
      <c r="R22" s="667"/>
      <c r="S22" s="668"/>
      <c r="T22" s="667"/>
      <c r="U22" s="668"/>
      <c r="V22" s="667"/>
      <c r="W22" s="668"/>
      <c r="X22" s="1265"/>
      <c r="Y22" s="343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8"/>
      <c r="Q23" s="530" t="str">
        <f t="shared" si="8"/>
        <v>公共配套设施</v>
      </c>
      <c r="R23" s="664" t="s">
        <v>14</v>
      </c>
      <c r="S23" s="665">
        <f>F23</f>
        <v>100</v>
      </c>
      <c r="T23" s="664" t="s">
        <v>14</v>
      </c>
      <c r="U23" s="665">
        <f>H23</f>
        <v>100</v>
      </c>
      <c r="V23" s="664" t="s">
        <v>14</v>
      </c>
      <c r="W23" s="665">
        <f>J23</f>
        <v>100</v>
      </c>
      <c r="X23" s="666"/>
      <c r="Y23" s="343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8"/>
      <c r="Q24" s="530"/>
      <c r="R24" s="664"/>
      <c r="S24" s="665"/>
      <c r="T24" s="664"/>
      <c r="U24" s="665"/>
      <c r="V24" s="664"/>
      <c r="W24" s="665"/>
      <c r="X24" s="666"/>
      <c r="Y24" s="343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8"/>
      <c r="Q25" s="530" t="str">
        <f t="shared" ref="Q25" si="9">B25</f>
        <v>基础设施水平</v>
      </c>
      <c r="R25" s="664" t="s">
        <v>14</v>
      </c>
      <c r="S25" s="665">
        <f>F25</f>
        <v>100</v>
      </c>
      <c r="T25" s="664" t="s">
        <v>14</v>
      </c>
      <c r="U25" s="665">
        <f>H25</f>
        <v>100</v>
      </c>
      <c r="V25" s="664" t="s">
        <v>14</v>
      </c>
      <c r="W25" s="665">
        <f>J25</f>
        <v>100</v>
      </c>
      <c r="X25" s="666"/>
      <c r="Y25" s="343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8"/>
      <c r="Q26" s="530"/>
      <c r="R26" s="664"/>
      <c r="S26" s="665"/>
      <c r="T26" s="664"/>
      <c r="U26" s="665"/>
      <c r="V26" s="664"/>
      <c r="W26" s="665"/>
      <c r="X26" s="666"/>
      <c r="Y26" s="343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8"/>
      <c r="Q28" s="1263" t="str">
        <f t="shared" si="8"/>
        <v>毗邻道路的类型与等级</v>
      </c>
      <c r="R28" s="667" t="s">
        <v>14</v>
      </c>
      <c r="S28" s="668">
        <f t="shared" si="10"/>
        <v>100</v>
      </c>
      <c r="T28" s="667" t="s">
        <v>14</v>
      </c>
      <c r="U28" s="668">
        <f t="shared" si="11"/>
        <v>100</v>
      </c>
      <c r="V28" s="667" t="s">
        <v>14</v>
      </c>
      <c r="W28" s="668">
        <f t="shared" si="12"/>
        <v>100</v>
      </c>
      <c r="X28" s="1265"/>
      <c r="Y28" s="343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8"/>
      <c r="Q29" s="1263"/>
      <c r="R29" s="667"/>
      <c r="S29" s="668"/>
      <c r="T29" s="667"/>
      <c r="U29" s="668"/>
      <c r="V29" s="667"/>
      <c r="W29" s="668"/>
      <c r="X29" s="1265"/>
      <c r="Y29" s="343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8"/>
      <c r="Q30" s="1263" t="str">
        <f t="shared" si="8"/>
        <v>土地级别</v>
      </c>
      <c r="R30" s="667" t="s">
        <v>14</v>
      </c>
      <c r="S30" s="668">
        <f t="shared" si="10"/>
        <v>100</v>
      </c>
      <c r="T30" s="667" t="s">
        <v>14</v>
      </c>
      <c r="U30" s="668">
        <f t="shared" si="11"/>
        <v>100</v>
      </c>
      <c r="V30" s="667" t="s">
        <v>14</v>
      </c>
      <c r="W30" s="668">
        <f t="shared" si="12"/>
        <v>100</v>
      </c>
      <c r="X30" s="1265"/>
      <c r="Y30" s="343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8"/>
      <c r="Q31" s="1263">
        <f t="shared" si="8"/>
        <v>111</v>
      </c>
      <c r="R31" s="667" t="s">
        <v>14</v>
      </c>
      <c r="S31" s="668">
        <f t="shared" si="10"/>
        <v>100</v>
      </c>
      <c r="T31" s="667" t="s">
        <v>14</v>
      </c>
      <c r="U31" s="668">
        <f t="shared" si="11"/>
        <v>100</v>
      </c>
      <c r="V31" s="667" t="s">
        <v>14</v>
      </c>
      <c r="W31" s="668">
        <f t="shared" si="12"/>
        <v>100</v>
      </c>
      <c r="X31" s="1265"/>
      <c r="Y31" s="343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1" t="s">
        <v>1696</v>
      </c>
      <c r="Q32" s="1263">
        <f t="shared" si="8"/>
        <v>111</v>
      </c>
      <c r="R32" s="667" t="s">
        <v>14</v>
      </c>
      <c r="S32" s="668">
        <f t="shared" si="10"/>
        <v>100</v>
      </c>
      <c r="T32" s="667" t="s">
        <v>14</v>
      </c>
      <c r="U32" s="668">
        <f t="shared" si="11"/>
        <v>100</v>
      </c>
      <c r="V32" s="667" t="s">
        <v>14</v>
      </c>
      <c r="W32" s="668">
        <f t="shared" si="12"/>
        <v>100</v>
      </c>
      <c r="X32" s="1265"/>
      <c r="Y32" s="344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42"/>
      <c r="Q33" s="1263">
        <f t="shared" si="8"/>
        <v>111</v>
      </c>
      <c r="R33" s="669" t="s">
        <v>14</v>
      </c>
      <c r="S33" s="670">
        <f t="shared" si="10"/>
        <v>100</v>
      </c>
      <c r="T33" s="669" t="s">
        <v>14</v>
      </c>
      <c r="U33" s="670">
        <f t="shared" si="11"/>
        <v>100</v>
      </c>
      <c r="V33" s="669" t="s">
        <v>14</v>
      </c>
      <c r="W33" s="670">
        <f t="shared" si="12"/>
        <v>100</v>
      </c>
      <c r="X33" s="671"/>
      <c r="Y33" s="344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42"/>
      <c r="Q34" s="1263" t="str">
        <f>B34</f>
        <v>宗地面积</v>
      </c>
      <c r="R34" s="667" t="s">
        <v>14</v>
      </c>
      <c r="S34" s="668" t="e">
        <f t="shared" si="10"/>
        <v>#N/A</v>
      </c>
      <c r="T34" s="667" t="s">
        <v>14</v>
      </c>
      <c r="U34" s="668" t="e">
        <f t="shared" si="11"/>
        <v>#N/A</v>
      </c>
      <c r="V34" s="667" t="s">
        <v>14</v>
      </c>
      <c r="W34" s="668" t="e">
        <f t="shared" si="12"/>
        <v>#N/A</v>
      </c>
      <c r="X34" s="1265"/>
      <c r="Y34" s="344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42"/>
      <c r="Q35" s="1263" t="str">
        <f t="shared" ref="Q35:Q40" si="14">B35</f>
        <v>宗地形状</v>
      </c>
      <c r="R35" s="667" t="s">
        <v>14</v>
      </c>
      <c r="S35" s="668">
        <f t="shared" si="10"/>
        <v>100</v>
      </c>
      <c r="T35" s="667" t="s">
        <v>14</v>
      </c>
      <c r="U35" s="668">
        <f t="shared" si="11"/>
        <v>100</v>
      </c>
      <c r="V35" s="667" t="s">
        <v>14</v>
      </c>
      <c r="W35" s="668">
        <f t="shared" si="12"/>
        <v>100</v>
      </c>
      <c r="X35" s="1265"/>
      <c r="Y35" s="344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42"/>
      <c r="Q36" s="1263" t="str">
        <f t="shared" si="14"/>
        <v>宗地开发程度</v>
      </c>
      <c r="R36" s="664" t="s">
        <v>14</v>
      </c>
      <c r="S36" s="665">
        <f t="shared" si="10"/>
        <v>100</v>
      </c>
      <c r="T36" s="664" t="s">
        <v>14</v>
      </c>
      <c r="U36" s="665">
        <f t="shared" si="11"/>
        <v>100</v>
      </c>
      <c r="V36" s="664" t="s">
        <v>14</v>
      </c>
      <c r="W36" s="665">
        <f t="shared" si="12"/>
        <v>100</v>
      </c>
      <c r="X36" s="666"/>
      <c r="Y36" s="344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42" t="s">
        <v>1696</v>
      </c>
      <c r="Q37" s="1263" t="str">
        <f t="shared" si="14"/>
        <v>工程地质条件</v>
      </c>
      <c r="R37" s="667" t="s">
        <v>14</v>
      </c>
      <c r="S37" s="668">
        <f t="shared" si="10"/>
        <v>100</v>
      </c>
      <c r="T37" s="667" t="s">
        <v>14</v>
      </c>
      <c r="U37" s="668">
        <f t="shared" si="11"/>
        <v>100</v>
      </c>
      <c r="V37" s="667" t="s">
        <v>14</v>
      </c>
      <c r="W37" s="668">
        <f t="shared" si="12"/>
        <v>100</v>
      </c>
      <c r="X37" s="1265"/>
      <c r="Y37" s="344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42"/>
      <c r="Q38" s="1263">
        <f t="shared" si="14"/>
        <v>111</v>
      </c>
      <c r="R38" s="667" t="s">
        <v>14</v>
      </c>
      <c r="S38" s="668">
        <f t="shared" si="10"/>
        <v>100</v>
      </c>
      <c r="T38" s="667" t="s">
        <v>14</v>
      </c>
      <c r="U38" s="668">
        <f t="shared" si="11"/>
        <v>100</v>
      </c>
      <c r="V38" s="667" t="s">
        <v>14</v>
      </c>
      <c r="W38" s="668">
        <f t="shared" si="12"/>
        <v>100</v>
      </c>
      <c r="X38" s="1265"/>
      <c r="Y38" s="344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42"/>
      <c r="Q39" s="1263">
        <f t="shared" si="14"/>
        <v>111</v>
      </c>
      <c r="R39" s="667" t="s">
        <v>14</v>
      </c>
      <c r="S39" s="668">
        <f t="shared" si="10"/>
        <v>100</v>
      </c>
      <c r="T39" s="667" t="s">
        <v>14</v>
      </c>
      <c r="U39" s="668">
        <f t="shared" si="11"/>
        <v>100</v>
      </c>
      <c r="V39" s="667" t="s">
        <v>14</v>
      </c>
      <c r="W39" s="668">
        <f t="shared" si="12"/>
        <v>100</v>
      </c>
      <c r="X39" s="1265"/>
      <c r="Y39" s="344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42"/>
      <c r="Q40" s="1263">
        <f t="shared" si="14"/>
        <v>111</v>
      </c>
      <c r="R40" s="669" t="s">
        <v>14</v>
      </c>
      <c r="S40" s="670">
        <f t="shared" si="10"/>
        <v>100</v>
      </c>
      <c r="T40" s="669" t="s">
        <v>14</v>
      </c>
      <c r="U40" s="670">
        <f t="shared" si="11"/>
        <v>100</v>
      </c>
      <c r="V40" s="669" t="s">
        <v>14</v>
      </c>
      <c r="W40" s="670">
        <f t="shared" si="12"/>
        <v>100</v>
      </c>
      <c r="X40" s="671"/>
      <c r="Y40" s="344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6" t="str">
        <f>A41</f>
        <v>成交单价</v>
      </c>
      <c r="Q41" s="3436"/>
      <c r="R41" s="3431">
        <f>E41</f>
        <v>0</v>
      </c>
      <c r="S41" s="3431"/>
      <c r="T41" s="3431">
        <f>G41</f>
        <v>0</v>
      </c>
      <c r="U41" s="3431"/>
      <c r="V41" s="3431">
        <f>I41</f>
        <v>0</v>
      </c>
      <c r="W41" s="343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6" t="str">
        <f>A42</f>
        <v>比较价值（元/平方米）</v>
      </c>
      <c r="Q42" s="3436"/>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33" t="str">
        <f>A43</f>
        <v>估价对象XX用房的比较价值（楼面单价，元/平方米）</v>
      </c>
      <c r="Q43" s="3434"/>
      <c r="R43" s="3464" t="e">
        <f>ROUND(IF(D42="简单平均",AVERAGE(R42:W42),R42*F42+T42*H42+V42*J42),0)</f>
        <v>#DIV/0!</v>
      </c>
      <c r="S43" s="3464"/>
      <c r="T43" s="3464"/>
      <c r="U43" s="3464"/>
      <c r="V43" s="3464"/>
      <c r="W43" s="346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9" t="s">
        <v>1887</v>
      </c>
      <c r="H50" s="346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7160.98</v>
      </c>
      <c r="F51" s="611" t="e">
        <f t="shared" ref="F51:F60" si="15">ROUND(B51*E51/10000,0)</f>
        <v>#DIV/0!</v>
      </c>
      <c r="G51" s="3418"/>
      <c r="H51" s="343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SUMIF(修正!A59:A70,H52,修正!B59:B70)</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SUMIF(修正!A59:A70,H53,修正!C59:C70)</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SUMIF(修正!A59:A70,H54,修正!D59:D70)</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3" t="s">
        <v>2084</v>
      </c>
      <c r="D1" s="3474"/>
      <c r="E1" s="3474"/>
      <c r="F1" s="3474"/>
      <c r="G1" s="3474"/>
      <c r="H1" s="3474"/>
      <c r="I1" s="3474"/>
      <c r="J1" s="3474"/>
      <c r="K1" s="3474"/>
      <c r="L1" s="3474"/>
      <c r="M1" s="3474"/>
      <c r="N1" s="3474"/>
      <c r="O1" s="3474"/>
      <c r="P1" s="3474"/>
      <c r="Q1" s="3474"/>
      <c r="R1" s="3474"/>
      <c r="S1" s="347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91"/>
      <c r="B4" s="3175" t="s">
        <v>917</v>
      </c>
      <c r="C4" s="3175"/>
      <c r="D4" s="3175"/>
      <c r="E4" s="1391"/>
    </row>
    <row r="5" spans="1:5" ht="16.5" thickTop="1">
      <c r="B5" s="3173" t="s">
        <v>909</v>
      </c>
      <c r="C5" s="1392" t="s">
        <v>910</v>
      </c>
      <c r="D5" s="797">
        <f ca="1">结果表!H101</f>
        <v>14322</v>
      </c>
    </row>
    <row r="6" spans="1:5" ht="15.75">
      <c r="B6" s="3173"/>
      <c r="C6" s="1392" t="s">
        <v>911</v>
      </c>
      <c r="D6" s="797" t="str">
        <f ca="1">NUMBERSTRING(INT(D5*10000),2)&amp;"元整"</f>
        <v>壹亿肆仟叁佰贰拾贰万元整</v>
      </c>
    </row>
    <row r="7" spans="1:5" ht="15.75">
      <c r="B7" s="3178"/>
      <c r="C7" s="1393" t="s">
        <v>912</v>
      </c>
      <c r="D7" s="798">
        <f ca="1">结果表!H102</f>
        <v>16294</v>
      </c>
    </row>
    <row r="8" spans="1:5" ht="15.75">
      <c r="B8" s="3179" t="str">
        <f>结果表!E103</f>
        <v>2.估价师知悉的法定优先受偿款</v>
      </c>
      <c r="C8" s="1394" t="s">
        <v>913</v>
      </c>
      <c r="D8" s="798">
        <f>结果表!H103</f>
        <v>0</v>
      </c>
    </row>
    <row r="9" spans="1:5" ht="15.75">
      <c r="B9" s="318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2" t="str">
        <f>结果表!E107</f>
        <v>3.房地产抵押价值</v>
      </c>
      <c r="C13" s="1397" t="s">
        <v>910</v>
      </c>
      <c r="D13" s="800">
        <f ca="1">结果表!H107</f>
        <v>14322</v>
      </c>
    </row>
    <row r="14" spans="1:5" ht="15.75">
      <c r="B14" s="3173"/>
      <c r="C14" s="1392" t="s">
        <v>911</v>
      </c>
      <c r="D14" s="797" t="str">
        <f ca="1">NUMBERSTRING(INT(D13*10000),2)&amp;"元整"</f>
        <v>壹亿肆仟叁佰贰拾贰万元整</v>
      </c>
    </row>
    <row r="15" spans="1:5" ht="15">
      <c r="B15" s="3178"/>
      <c r="C15" s="1393" t="s">
        <v>921</v>
      </c>
      <c r="D15" s="806">
        <f ca="1">结果表!H108</f>
        <v>16294</v>
      </c>
    </row>
    <row r="16" spans="1:5" ht="15">
      <c r="B16" s="3179" t="str">
        <f>结果表!E109</f>
        <v>——</v>
      </c>
      <c r="C16" s="1397" t="s">
        <v>922</v>
      </c>
      <c r="D16" s="1398" t="str">
        <f>结果表!H109</f>
        <v>——</v>
      </c>
    </row>
    <row r="17" spans="1:5" ht="15.75">
      <c r="B17" s="3180"/>
      <c r="C17" s="1392" t="s">
        <v>923</v>
      </c>
      <c r="D17" s="797" t="e">
        <f>NUMBERSTRING(INT(D16*10000),2)&amp;"元整"</f>
        <v>#VALUE!</v>
      </c>
    </row>
    <row r="18" spans="1:5" ht="15">
      <c r="B18" s="3181"/>
      <c r="C18" s="1393" t="s">
        <v>912</v>
      </c>
      <c r="D18" s="806" t="str">
        <f>结果表!H110</f>
        <v>——</v>
      </c>
    </row>
    <row r="19" spans="1:5" ht="15.75">
      <c r="B19" s="3172" t="str">
        <f>结果表!E111</f>
        <v>——</v>
      </c>
      <c r="C19" s="1397" t="s">
        <v>910</v>
      </c>
      <c r="D19" s="798" t="str">
        <f>结果表!H111</f>
        <v>——</v>
      </c>
    </row>
    <row r="20" spans="1:5" ht="15.75">
      <c r="B20" s="3173"/>
      <c r="C20" s="1392" t="s">
        <v>923</v>
      </c>
      <c r="D20" s="797" t="e">
        <f>NUMBERSTRING(INT(D19*10000),2)&amp;"元整"</f>
        <v>#VALUE!</v>
      </c>
    </row>
    <row r="21" spans="1:5" ht="15.75" thickBot="1">
      <c r="B21" s="317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11162</v>
      </c>
      <c r="C2" s="1984" t="s">
        <v>2074</v>
      </c>
      <c r="D2" s="1984" t="s">
        <v>2075</v>
      </c>
      <c r="E2" s="2398">
        <f ca="1">SUMIF(E6:E13,"&lt;&gt;#ref!",E6:E13)</f>
        <v>1628.68</v>
      </c>
      <c r="F2" s="2545"/>
      <c r="G2" s="2545"/>
      <c r="H2" s="2545"/>
      <c r="I2" s="2545"/>
      <c r="J2" s="2545"/>
      <c r="K2" s="2545"/>
      <c r="L2" s="2545"/>
      <c r="M2" s="2545"/>
      <c r="N2" s="2545"/>
      <c r="O2" s="2545"/>
      <c r="P2" s="2545"/>
    </row>
    <row r="3" spans="1:16" ht="15.75">
      <c r="A3" s="1984" t="s">
        <v>2076</v>
      </c>
      <c r="B3" s="2388">
        <f ca="1">ROUND(B2*10000/E2,0)</f>
        <v>68534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11162</v>
      </c>
      <c r="C6" s="1984" t="s">
        <v>2074</v>
      </c>
      <c r="D6" s="2545"/>
      <c r="E6" s="2398">
        <f ca="1">SUMIF(INDIRECT("'"&amp;A6&amp;"'"&amp;"!C:C"),"建筑面积",INDIRECT("'"&amp;A6&amp;"'"&amp;"!D:D"))</f>
        <v>1628.68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6" t="s">
        <v>2607</v>
      </c>
      <c r="B20" s="3476" t="s">
        <v>2628</v>
      </c>
      <c r="C20" s="3169" t="s">
        <v>2439</v>
      </c>
      <c r="D20" s="3169"/>
      <c r="E20" s="2845">
        <v>1</v>
      </c>
      <c r="F20" s="2846" t="s">
        <v>2440</v>
      </c>
      <c r="G20" s="2846"/>
    </row>
    <row r="21" spans="1:13" ht="19.5" customHeight="1">
      <c r="A21" s="3487"/>
      <c r="B21" s="3477"/>
      <c r="C21" s="2858" t="s">
        <v>2441</v>
      </c>
      <c r="D21" s="2858"/>
      <c r="E21" s="2849">
        <v>1</v>
      </c>
      <c r="F21" s="2846" t="s">
        <v>2442</v>
      </c>
      <c r="G21" s="2846"/>
    </row>
    <row r="22" spans="1:13" ht="19.5" customHeight="1">
      <c r="A22" s="3487"/>
      <c r="B22" s="3477"/>
      <c r="C22" s="2858" t="s">
        <v>2443</v>
      </c>
      <c r="D22" s="2858"/>
      <c r="E22" s="2849">
        <v>0.9</v>
      </c>
      <c r="F22" s="2846" t="s">
        <v>2444</v>
      </c>
      <c r="G22" s="2846"/>
    </row>
    <row r="23" spans="1:13" ht="19.5" customHeight="1">
      <c r="A23" s="3487"/>
      <c r="B23" s="3477"/>
      <c r="C23" s="2858" t="s">
        <v>2445</v>
      </c>
      <c r="D23" s="2858"/>
      <c r="E23" s="2849">
        <v>0.9</v>
      </c>
      <c r="F23" s="2846" t="s">
        <v>2446</v>
      </c>
      <c r="G23" s="2846"/>
    </row>
    <row r="24" spans="1:13" ht="19.5" customHeight="1">
      <c r="A24" s="3487"/>
      <c r="B24" s="3477"/>
      <c r="C24" s="2858" t="s">
        <v>2447</v>
      </c>
      <c r="D24" s="2858"/>
      <c r="E24" s="2849">
        <v>0.8</v>
      </c>
      <c r="F24" s="2846" t="s">
        <v>2448</v>
      </c>
      <c r="G24" s="2846"/>
    </row>
    <row r="25" spans="1:13" ht="19.5" customHeight="1">
      <c r="A25" s="3487"/>
      <c r="B25" s="3477"/>
      <c r="C25" s="2858" t="s">
        <v>2449</v>
      </c>
      <c r="D25" s="2858"/>
      <c r="E25" s="2849">
        <v>0.8</v>
      </c>
      <c r="F25" s="2846"/>
      <c r="G25" s="2846"/>
    </row>
    <row r="26" spans="1:13" ht="19.5" customHeight="1">
      <c r="A26" s="3487"/>
      <c r="B26" s="3477"/>
      <c r="C26" s="2858" t="s">
        <v>3411</v>
      </c>
      <c r="D26" s="2858"/>
      <c r="E26" s="2849">
        <v>0.43</v>
      </c>
      <c r="F26" s="2846"/>
      <c r="G26" s="2846"/>
    </row>
    <row r="27" spans="1:13" ht="19.5" customHeight="1" thickBot="1">
      <c r="A27" s="3488"/>
      <c r="B27" s="3478"/>
      <c r="C27" s="3165" t="s">
        <v>3412</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79" t="s">
        <v>2631</v>
      </c>
      <c r="B29" s="3482" t="s">
        <v>2612</v>
      </c>
      <c r="C29" s="2843" t="s">
        <v>2452</v>
      </c>
      <c r="D29" s="2844"/>
      <c r="E29" s="2845">
        <v>1</v>
      </c>
      <c r="F29" s="2846" t="s">
        <v>2453</v>
      </c>
      <c r="G29" s="2846"/>
    </row>
    <row r="30" spans="1:13" ht="19.5" customHeight="1">
      <c r="A30" s="3480"/>
      <c r="B30" s="3483"/>
      <c r="C30" s="2847" t="s">
        <v>2454</v>
      </c>
      <c r="D30" s="2848"/>
      <c r="E30" s="2849">
        <v>1</v>
      </c>
      <c r="F30" s="2846" t="s">
        <v>2455</v>
      </c>
      <c r="G30" s="2846"/>
    </row>
    <row r="31" spans="1:13" ht="19.5" customHeight="1">
      <c r="A31" s="3480"/>
      <c r="B31" s="3483"/>
      <c r="C31" s="2847" t="s">
        <v>2456</v>
      </c>
      <c r="D31" s="2848"/>
      <c r="E31" s="2849">
        <v>0.8</v>
      </c>
      <c r="F31" s="2846" t="s">
        <v>2457</v>
      </c>
      <c r="G31" s="2846"/>
    </row>
    <row r="32" spans="1:13" ht="19.5" customHeight="1">
      <c r="A32" s="3480"/>
      <c r="B32" s="3483"/>
      <c r="C32" s="2847" t="s">
        <v>2458</v>
      </c>
      <c r="D32" s="2848"/>
      <c r="E32" s="2849">
        <v>0.8</v>
      </c>
      <c r="F32" s="2846" t="s">
        <v>2459</v>
      </c>
      <c r="G32" s="2846"/>
    </row>
    <row r="33" spans="1:7" ht="19.5" customHeight="1">
      <c r="A33" s="3480"/>
      <c r="B33" s="3483"/>
      <c r="C33" s="2847" t="s">
        <v>2460</v>
      </c>
      <c r="D33" s="2848"/>
      <c r="E33" s="2849">
        <v>0.8</v>
      </c>
      <c r="F33" s="2846" t="s">
        <v>2461</v>
      </c>
      <c r="G33" s="2846"/>
    </row>
    <row r="34" spans="1:7" ht="19.5" customHeight="1">
      <c r="A34" s="3480"/>
      <c r="B34" s="3483"/>
      <c r="C34" s="2847" t="s">
        <v>2462</v>
      </c>
      <c r="D34" s="2848"/>
      <c r="E34" s="2849">
        <v>0.7</v>
      </c>
      <c r="F34" s="2846" t="s">
        <v>2463</v>
      </c>
      <c r="G34" s="2846"/>
    </row>
    <row r="35" spans="1:7" ht="19.5" customHeight="1">
      <c r="A35" s="3480"/>
      <c r="B35" s="3483"/>
      <c r="C35" s="2847" t="s">
        <v>2464</v>
      </c>
      <c r="D35" s="2848"/>
      <c r="E35" s="2849">
        <v>0.8</v>
      </c>
      <c r="F35" s="2846" t="s">
        <v>2465</v>
      </c>
      <c r="G35" s="2846"/>
    </row>
    <row r="36" spans="1:7" ht="19.5" customHeight="1">
      <c r="A36" s="3480"/>
      <c r="B36" s="3483"/>
      <c r="C36" s="2847" t="s">
        <v>2466</v>
      </c>
      <c r="D36" s="2848"/>
      <c r="E36" s="2849">
        <v>0.6</v>
      </c>
      <c r="F36" s="2846" t="s">
        <v>2467</v>
      </c>
      <c r="G36" s="2846"/>
    </row>
    <row r="37" spans="1:7" ht="19.5" customHeight="1">
      <c r="A37" s="3480"/>
      <c r="B37" s="3483"/>
      <c r="C37" s="2847" t="s">
        <v>2468</v>
      </c>
      <c r="D37" s="2848"/>
      <c r="E37" s="2849">
        <v>0.2</v>
      </c>
      <c r="F37" s="2846" t="s">
        <v>2469</v>
      </c>
      <c r="G37" s="2846"/>
    </row>
    <row r="38" spans="1:7" ht="19.5" customHeight="1">
      <c r="A38" s="3480"/>
      <c r="B38" s="3483"/>
      <c r="C38" s="2847" t="s">
        <v>2470</v>
      </c>
      <c r="D38" s="2848"/>
      <c r="E38" s="2849">
        <v>0.2</v>
      </c>
      <c r="F38" s="2846" t="s">
        <v>2471</v>
      </c>
      <c r="G38" s="2846"/>
    </row>
    <row r="39" spans="1:7" ht="19.5" customHeight="1">
      <c r="A39" s="3480"/>
      <c r="B39" s="3484" t="s">
        <v>2632</v>
      </c>
      <c r="C39" s="2847" t="s">
        <v>2472</v>
      </c>
      <c r="D39" s="2848"/>
      <c r="E39" s="2849">
        <v>0.6</v>
      </c>
      <c r="F39" s="2846" t="s">
        <v>2473</v>
      </c>
      <c r="G39" s="2846"/>
    </row>
    <row r="40" spans="1:7" ht="19.5" customHeight="1">
      <c r="A40" s="3480"/>
      <c r="B40" s="3483"/>
      <c r="C40" s="2847" t="s">
        <v>2474</v>
      </c>
      <c r="D40" s="2848"/>
      <c r="E40" s="2849">
        <v>0.6</v>
      </c>
      <c r="F40" s="2846" t="s">
        <v>2475</v>
      </c>
      <c r="G40" s="2846"/>
    </row>
    <row r="41" spans="1:7" ht="19.5" customHeight="1" thickBot="1">
      <c r="A41" s="3481"/>
      <c r="B41" s="3485"/>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6" t="s">
        <v>2610</v>
      </c>
      <c r="B43" s="3482" t="s">
        <v>2634</v>
      </c>
      <c r="C43" s="2843" t="s">
        <v>2479</v>
      </c>
      <c r="D43" s="2844"/>
      <c r="E43" s="2845">
        <v>1</v>
      </c>
      <c r="F43" s="2846" t="s">
        <v>2480</v>
      </c>
      <c r="G43" s="2846"/>
    </row>
    <row r="44" spans="1:7" ht="19.5" customHeight="1">
      <c r="A44" s="3487"/>
      <c r="B44" s="3483"/>
      <c r="C44" s="2847" t="s">
        <v>2481</v>
      </c>
      <c r="D44" s="2848"/>
      <c r="E44" s="2849">
        <v>1</v>
      </c>
      <c r="F44" s="2846" t="s">
        <v>2482</v>
      </c>
      <c r="G44" s="2846"/>
    </row>
    <row r="45" spans="1:7" ht="19.5" customHeight="1">
      <c r="A45" s="3487"/>
      <c r="B45" s="3489"/>
      <c r="C45" s="2847" t="s">
        <v>2483</v>
      </c>
      <c r="D45" s="2848"/>
      <c r="E45" s="2849">
        <v>1.5</v>
      </c>
      <c r="F45" s="2846" t="s">
        <v>2484</v>
      </c>
      <c r="G45" s="2846"/>
    </row>
    <row r="46" spans="1:7" ht="19.5" customHeight="1">
      <c r="A46" s="3487"/>
      <c r="B46" s="2858" t="s">
        <v>2635</v>
      </c>
      <c r="C46" s="2847" t="s">
        <v>2636</v>
      </c>
      <c r="D46" s="2848"/>
      <c r="E46" s="2849">
        <v>2</v>
      </c>
      <c r="F46" s="2846" t="s">
        <v>2485</v>
      </c>
      <c r="G46" s="2846"/>
    </row>
    <row r="47" spans="1:7" ht="19.5" customHeight="1">
      <c r="A47" s="3487"/>
      <c r="B47" s="3484" t="s">
        <v>2637</v>
      </c>
      <c r="C47" s="2847" t="s">
        <v>2486</v>
      </c>
      <c r="D47" s="2848"/>
      <c r="E47" s="2849">
        <v>1</v>
      </c>
      <c r="F47" s="2846" t="s">
        <v>2487</v>
      </c>
      <c r="G47" s="2846"/>
    </row>
    <row r="48" spans="1:7" ht="19.5" customHeight="1">
      <c r="A48" s="3487"/>
      <c r="B48" s="3483"/>
      <c r="C48" s="2847" t="s">
        <v>2488</v>
      </c>
      <c r="D48" s="2848"/>
      <c r="E48" s="2849">
        <v>1</v>
      </c>
      <c r="F48" s="2846" t="s">
        <v>2489</v>
      </c>
      <c r="G48" s="2846"/>
    </row>
    <row r="49" spans="1:7" ht="19.5" customHeight="1">
      <c r="A49" s="3487"/>
      <c r="B49" s="3483"/>
      <c r="C49" s="2847" t="s">
        <v>2490</v>
      </c>
      <c r="D49" s="2848"/>
      <c r="E49" s="2849">
        <v>1</v>
      </c>
      <c r="F49" s="2846" t="s">
        <v>2491</v>
      </c>
      <c r="G49" s="2846"/>
    </row>
    <row r="50" spans="1:7" ht="19.5" customHeight="1">
      <c r="A50" s="3487"/>
      <c r="B50" s="3483"/>
      <c r="C50" s="2847" t="s">
        <v>2492</v>
      </c>
      <c r="D50" s="2848"/>
      <c r="E50" s="2849">
        <v>1</v>
      </c>
      <c r="F50" s="2846" t="s">
        <v>2493</v>
      </c>
      <c r="G50" s="2846"/>
    </row>
    <row r="51" spans="1:7" ht="19.5" customHeight="1">
      <c r="A51" s="3487"/>
      <c r="B51" s="3483"/>
      <c r="C51" s="2847" t="s">
        <v>2494</v>
      </c>
      <c r="D51" s="2848"/>
      <c r="E51" s="2849">
        <v>1</v>
      </c>
      <c r="F51" s="2846" t="s">
        <v>2495</v>
      </c>
      <c r="G51" s="2846"/>
    </row>
    <row r="52" spans="1:7" ht="19.5" customHeight="1">
      <c r="A52" s="3487"/>
      <c r="B52" s="3483"/>
      <c r="C52" s="2847" t="s">
        <v>2496</v>
      </c>
      <c r="D52" s="2848"/>
      <c r="E52" s="2849">
        <v>1</v>
      </c>
      <c r="F52" s="2846" t="s">
        <v>2497</v>
      </c>
      <c r="G52" s="2846"/>
    </row>
    <row r="53" spans="1:7" ht="19.5" customHeight="1" thickBot="1">
      <c r="A53" s="3488"/>
      <c r="B53" s="3485"/>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84" t="s">
        <v>2651</v>
      </c>
      <c r="C75" s="2832" t="s">
        <v>2652</v>
      </c>
      <c r="D75" s="2832" t="s">
        <v>2653</v>
      </c>
      <c r="E75" s="2858">
        <v>0.2</v>
      </c>
      <c r="F75" s="2858">
        <v>25</v>
      </c>
    </row>
    <row r="76" spans="1:7" ht="24">
      <c r="A76" s="2858">
        <v>2</v>
      </c>
      <c r="B76" s="3483"/>
      <c r="C76" s="2832" t="s">
        <v>2654</v>
      </c>
      <c r="D76" s="2832" t="s">
        <v>2655</v>
      </c>
      <c r="E76" s="2858">
        <v>0.2</v>
      </c>
      <c r="F76" s="2858">
        <v>25</v>
      </c>
    </row>
    <row r="77" spans="1:7" ht="24">
      <c r="A77" s="2858">
        <v>3</v>
      </c>
      <c r="B77" s="3483"/>
      <c r="C77" s="2832" t="s">
        <v>2656</v>
      </c>
      <c r="D77" s="2832" t="s">
        <v>2657</v>
      </c>
      <c r="E77" s="2858">
        <v>0.2</v>
      </c>
      <c r="F77" s="2858">
        <v>25</v>
      </c>
    </row>
    <row r="78" spans="1:7" ht="13.5">
      <c r="A78" s="2858">
        <v>4</v>
      </c>
      <c r="B78" s="3483"/>
      <c r="C78" s="2832" t="s">
        <v>2658</v>
      </c>
      <c r="D78" s="2832" t="s">
        <v>2659</v>
      </c>
      <c r="E78" s="2858">
        <v>0.15</v>
      </c>
      <c r="F78" s="2858">
        <v>20</v>
      </c>
    </row>
    <row r="79" spans="1:7" ht="24">
      <c r="A79" s="2858">
        <v>5</v>
      </c>
      <c r="B79" s="3483"/>
      <c r="C79" s="2832" t="s">
        <v>2660</v>
      </c>
      <c r="D79" s="2832" t="s">
        <v>2661</v>
      </c>
      <c r="E79" s="2858">
        <v>0.15</v>
      </c>
      <c r="F79" s="2858">
        <v>20</v>
      </c>
    </row>
    <row r="80" spans="1:7" ht="24">
      <c r="A80" s="2858">
        <v>6</v>
      </c>
      <c r="B80" s="3483"/>
      <c r="C80" s="2832" t="s">
        <v>2662</v>
      </c>
      <c r="D80" s="2832" t="s">
        <v>2663</v>
      </c>
      <c r="E80" s="2858">
        <v>0.15</v>
      </c>
      <c r="F80" s="2858">
        <v>20</v>
      </c>
    </row>
    <row r="81" spans="1:6" ht="24">
      <c r="A81" s="2858">
        <v>7</v>
      </c>
      <c r="B81" s="3483"/>
      <c r="C81" s="2832" t="s">
        <v>2664</v>
      </c>
      <c r="D81" s="2832" t="s">
        <v>2665</v>
      </c>
      <c r="E81" s="2858">
        <v>0.15</v>
      </c>
      <c r="F81" s="2858">
        <v>20</v>
      </c>
    </row>
    <row r="82" spans="1:6" ht="24">
      <c r="A82" s="2858">
        <v>8</v>
      </c>
      <c r="B82" s="3483"/>
      <c r="C82" s="2832" t="s">
        <v>2666</v>
      </c>
      <c r="D82" s="2832" t="s">
        <v>2667</v>
      </c>
      <c r="E82" s="2858">
        <v>0.1</v>
      </c>
      <c r="F82" s="2858">
        <v>15</v>
      </c>
    </row>
    <row r="83" spans="1:6" ht="24">
      <c r="A83" s="2858">
        <v>9</v>
      </c>
      <c r="B83" s="3483"/>
      <c r="C83" s="2832" t="s">
        <v>2668</v>
      </c>
      <c r="D83" s="2832" t="s">
        <v>2669</v>
      </c>
      <c r="E83" s="2858">
        <v>0.1</v>
      </c>
      <c r="F83" s="2858">
        <v>15</v>
      </c>
    </row>
    <row r="84" spans="1:6" ht="24">
      <c r="A84" s="2858">
        <v>10</v>
      </c>
      <c r="B84" s="3483"/>
      <c r="C84" s="2832" t="s">
        <v>2670</v>
      </c>
      <c r="D84" s="2832" t="s">
        <v>2671</v>
      </c>
      <c r="E84" s="2858">
        <v>0.1</v>
      </c>
      <c r="F84" s="2858">
        <v>15</v>
      </c>
    </row>
    <row r="85" spans="1:6" ht="24">
      <c r="A85" s="2858">
        <v>11</v>
      </c>
      <c r="B85" s="3483"/>
      <c r="C85" s="2832" t="s">
        <v>2672</v>
      </c>
      <c r="D85" s="2832" t="s">
        <v>2673</v>
      </c>
      <c r="E85" s="2858">
        <v>0.1</v>
      </c>
      <c r="F85" s="2858">
        <v>15</v>
      </c>
    </row>
    <row r="86" spans="1:6" ht="24">
      <c r="A86" s="2858">
        <v>12</v>
      </c>
      <c r="B86" s="3483"/>
      <c r="C86" s="2832" t="s">
        <v>2674</v>
      </c>
      <c r="D86" s="2832" t="s">
        <v>2675</v>
      </c>
      <c r="E86" s="2858">
        <v>0.1</v>
      </c>
      <c r="F86" s="2858">
        <v>15</v>
      </c>
    </row>
    <row r="87" spans="1:6" ht="13.5">
      <c r="A87" s="2858">
        <v>13</v>
      </c>
      <c r="B87" s="3483"/>
      <c r="C87" s="2832" t="s">
        <v>2676</v>
      </c>
      <c r="D87" s="2832" t="s">
        <v>2677</v>
      </c>
      <c r="E87" s="2858">
        <v>0.1</v>
      </c>
      <c r="F87" s="2858">
        <v>15</v>
      </c>
    </row>
    <row r="88" spans="1:6" ht="13.5">
      <c r="A88" s="2858">
        <v>14</v>
      </c>
      <c r="B88" s="3483"/>
      <c r="C88" s="2832" t="s">
        <v>2678</v>
      </c>
      <c r="D88" s="2832" t="s">
        <v>2679</v>
      </c>
      <c r="E88" s="2858">
        <v>0.1</v>
      </c>
      <c r="F88" s="2858">
        <v>15</v>
      </c>
    </row>
    <row r="89" spans="1:6" ht="13.5">
      <c r="A89" s="2858">
        <v>15</v>
      </c>
      <c r="B89" s="3483"/>
      <c r="C89" s="2832" t="s">
        <v>2680</v>
      </c>
      <c r="D89" s="2832" t="s">
        <v>2681</v>
      </c>
      <c r="E89" s="2858">
        <v>0.1</v>
      </c>
      <c r="F89" s="2858">
        <v>15</v>
      </c>
    </row>
    <row r="90" spans="1:6" ht="24">
      <c r="A90" s="2858">
        <v>16</v>
      </c>
      <c r="B90" s="3483"/>
      <c r="C90" s="2832" t="s">
        <v>2682</v>
      </c>
      <c r="D90" s="2832" t="s">
        <v>2683</v>
      </c>
      <c r="E90" s="2858">
        <v>0.1</v>
      </c>
      <c r="F90" s="2858">
        <v>15</v>
      </c>
    </row>
    <row r="91" spans="1:6" ht="24">
      <c r="A91" s="2858">
        <v>17</v>
      </c>
      <c r="B91" s="3489"/>
      <c r="C91" s="2832" t="s">
        <v>2684</v>
      </c>
      <c r="D91" s="2832" t="s">
        <v>2685</v>
      </c>
      <c r="E91" s="2858">
        <v>0.1</v>
      </c>
      <c r="F91" s="2858">
        <v>15</v>
      </c>
    </row>
    <row r="92" spans="1:6" ht="13.5">
      <c r="A92" s="2858">
        <v>18</v>
      </c>
      <c r="B92" s="3484" t="s">
        <v>2686</v>
      </c>
      <c r="C92" s="2832" t="s">
        <v>2687</v>
      </c>
      <c r="D92" s="2832" t="s">
        <v>2688</v>
      </c>
      <c r="E92" s="2858">
        <v>0.2</v>
      </c>
      <c r="F92" s="2858">
        <v>25</v>
      </c>
    </row>
    <row r="93" spans="1:6" ht="24">
      <c r="A93" s="2858">
        <v>19</v>
      </c>
      <c r="B93" s="3483"/>
      <c r="C93" s="2832" t="s">
        <v>2689</v>
      </c>
      <c r="D93" s="2832" t="s">
        <v>2690</v>
      </c>
      <c r="E93" s="2858">
        <v>0.2</v>
      </c>
      <c r="F93" s="2858">
        <v>25</v>
      </c>
    </row>
    <row r="94" spans="1:6" ht="13.5">
      <c r="A94" s="2858">
        <v>20</v>
      </c>
      <c r="B94" s="3483"/>
      <c r="C94" s="2832" t="s">
        <v>2691</v>
      </c>
      <c r="D94" s="2832" t="s">
        <v>2692</v>
      </c>
      <c r="E94" s="2858">
        <v>0.15</v>
      </c>
      <c r="F94" s="2858">
        <v>20</v>
      </c>
    </row>
    <row r="95" spans="1:6" ht="13.5">
      <c r="A95" s="2858">
        <v>21</v>
      </c>
      <c r="B95" s="3483"/>
      <c r="C95" s="2832" t="s">
        <v>2693</v>
      </c>
      <c r="D95" s="2832" t="s">
        <v>2694</v>
      </c>
      <c r="E95" s="2858">
        <v>0.15</v>
      </c>
      <c r="F95" s="2858">
        <v>20</v>
      </c>
    </row>
    <row r="96" spans="1:6" ht="13.5">
      <c r="A96" s="2858">
        <v>22</v>
      </c>
      <c r="B96" s="3483"/>
      <c r="C96" s="2832" t="s">
        <v>2695</v>
      </c>
      <c r="D96" s="2832" t="s">
        <v>2696</v>
      </c>
      <c r="E96" s="2858">
        <v>0.15</v>
      </c>
      <c r="F96" s="2858">
        <v>20</v>
      </c>
    </row>
    <row r="97" spans="1:6" ht="36">
      <c r="A97" s="2858">
        <v>23</v>
      </c>
      <c r="B97" s="3483"/>
      <c r="C97" s="2832" t="s">
        <v>2697</v>
      </c>
      <c r="D97" s="2832" t="s">
        <v>2698</v>
      </c>
      <c r="E97" s="2858">
        <v>0.15</v>
      </c>
      <c r="F97" s="2858">
        <v>20</v>
      </c>
    </row>
    <row r="98" spans="1:6" ht="13.5">
      <c r="A98" s="2858">
        <v>24</v>
      </c>
      <c r="B98" s="3483"/>
      <c r="C98" s="2832" t="s">
        <v>2699</v>
      </c>
      <c r="D98" s="2832" t="s">
        <v>2700</v>
      </c>
      <c r="E98" s="2858">
        <v>0.1</v>
      </c>
      <c r="F98" s="2858">
        <v>15</v>
      </c>
    </row>
    <row r="99" spans="1:6" ht="13.5">
      <c r="A99" s="2858">
        <v>25</v>
      </c>
      <c r="B99" s="3483"/>
      <c r="C99" s="2832" t="s">
        <v>2701</v>
      </c>
      <c r="D99" s="2832" t="s">
        <v>2702</v>
      </c>
      <c r="E99" s="2858">
        <v>0.1</v>
      </c>
      <c r="F99" s="2858">
        <v>15</v>
      </c>
    </row>
    <row r="100" spans="1:6" ht="24">
      <c r="A100" s="2858">
        <v>26</v>
      </c>
      <c r="B100" s="3483"/>
      <c r="C100" s="2832" t="s">
        <v>2703</v>
      </c>
      <c r="D100" s="2832" t="s">
        <v>2704</v>
      </c>
      <c r="E100" s="2858">
        <v>0.1</v>
      </c>
      <c r="F100" s="2858">
        <v>15</v>
      </c>
    </row>
    <row r="101" spans="1:6" ht="24">
      <c r="A101" s="2858">
        <v>27</v>
      </c>
      <c r="B101" s="3483"/>
      <c r="C101" s="2832" t="s">
        <v>2705</v>
      </c>
      <c r="D101" s="2832" t="s">
        <v>2706</v>
      </c>
      <c r="E101" s="2858">
        <v>0.1</v>
      </c>
      <c r="F101" s="2858">
        <v>15</v>
      </c>
    </row>
    <row r="102" spans="1:6" ht="13.5">
      <c r="A102" s="2858">
        <v>28</v>
      </c>
      <c r="B102" s="3483"/>
      <c r="C102" s="2832" t="s">
        <v>2707</v>
      </c>
      <c r="D102" s="2832" t="s">
        <v>2708</v>
      </c>
      <c r="E102" s="2858">
        <v>0.1</v>
      </c>
      <c r="F102" s="2858">
        <v>15</v>
      </c>
    </row>
    <row r="103" spans="1:6" ht="13.5">
      <c r="A103" s="2858">
        <v>29</v>
      </c>
      <c r="B103" s="3483"/>
      <c r="C103" s="2832" t="s">
        <v>2709</v>
      </c>
      <c r="D103" s="2832" t="s">
        <v>2710</v>
      </c>
      <c r="E103" s="2858">
        <v>0.1</v>
      </c>
      <c r="F103" s="2858">
        <v>15</v>
      </c>
    </row>
    <row r="104" spans="1:6" ht="13.5">
      <c r="A104" s="2858">
        <v>30</v>
      </c>
      <c r="B104" s="3483"/>
      <c r="C104" s="2832" t="s">
        <v>2711</v>
      </c>
      <c r="D104" s="2832" t="s">
        <v>2712</v>
      </c>
      <c r="E104" s="2858">
        <v>0.1</v>
      </c>
      <c r="F104" s="2858">
        <v>15</v>
      </c>
    </row>
    <row r="105" spans="1:6" ht="24">
      <c r="A105" s="2858">
        <v>31</v>
      </c>
      <c r="B105" s="3483"/>
      <c r="C105" s="2832" t="s">
        <v>2713</v>
      </c>
      <c r="D105" s="2832" t="s">
        <v>2714</v>
      </c>
      <c r="E105" s="2858">
        <v>0.1</v>
      </c>
      <c r="F105" s="2858">
        <v>15</v>
      </c>
    </row>
    <row r="106" spans="1:6" ht="24">
      <c r="A106" s="2858">
        <v>32</v>
      </c>
      <c r="B106" s="3483"/>
      <c r="C106" s="2832" t="s">
        <v>2715</v>
      </c>
      <c r="D106" s="2832" t="s">
        <v>2716</v>
      </c>
      <c r="E106" s="2858">
        <v>0.1</v>
      </c>
      <c r="F106" s="2858">
        <v>15</v>
      </c>
    </row>
    <row r="107" spans="1:6" ht="24">
      <c r="A107" s="2858">
        <v>33</v>
      </c>
      <c r="B107" s="3483"/>
      <c r="C107" s="2832" t="s">
        <v>2717</v>
      </c>
      <c r="D107" s="2832" t="s">
        <v>2718</v>
      </c>
      <c r="E107" s="2858">
        <v>0.1</v>
      </c>
      <c r="F107" s="2858">
        <v>15</v>
      </c>
    </row>
    <row r="108" spans="1:6" ht="24">
      <c r="A108" s="2858">
        <v>34</v>
      </c>
      <c r="B108" s="3489"/>
      <c r="C108" s="2832" t="s">
        <v>2719</v>
      </c>
      <c r="D108" s="2832" t="s">
        <v>2720</v>
      </c>
      <c r="E108" s="2858">
        <v>0.1</v>
      </c>
      <c r="F108" s="2858">
        <v>15</v>
      </c>
    </row>
    <row r="109" spans="1:6" ht="24">
      <c r="A109" s="2858">
        <v>35</v>
      </c>
      <c r="B109" s="3484" t="s">
        <v>2721</v>
      </c>
      <c r="C109" s="2858" t="s">
        <v>2722</v>
      </c>
      <c r="D109" s="2832" t="s">
        <v>2723</v>
      </c>
      <c r="E109" s="2858">
        <v>0.15</v>
      </c>
      <c r="F109" s="2858">
        <v>20</v>
      </c>
    </row>
    <row r="110" spans="1:6" ht="13.5">
      <c r="A110" s="2858">
        <v>36</v>
      </c>
      <c r="B110" s="3483"/>
      <c r="C110" s="2858" t="s">
        <v>2724</v>
      </c>
      <c r="D110" s="2832" t="s">
        <v>2725</v>
      </c>
      <c r="E110" s="2858">
        <v>0.15</v>
      </c>
      <c r="F110" s="2858">
        <v>20</v>
      </c>
    </row>
    <row r="111" spans="1:6" ht="13.5">
      <c r="A111" s="2858">
        <v>37</v>
      </c>
      <c r="B111" s="3483"/>
      <c r="C111" s="2858" t="s">
        <v>2726</v>
      </c>
      <c r="D111" s="2832" t="s">
        <v>2727</v>
      </c>
      <c r="E111" s="2858">
        <v>0.15</v>
      </c>
      <c r="F111" s="2858">
        <v>20</v>
      </c>
    </row>
    <row r="112" spans="1:6" ht="13.5">
      <c r="A112" s="2858">
        <v>38</v>
      </c>
      <c r="B112" s="3483"/>
      <c r="C112" s="2858" t="s">
        <v>2728</v>
      </c>
      <c r="D112" s="2832" t="s">
        <v>2729</v>
      </c>
      <c r="E112" s="2858">
        <v>0.1</v>
      </c>
      <c r="F112" s="2858">
        <v>15</v>
      </c>
    </row>
    <row r="113" spans="1:6" ht="24">
      <c r="A113" s="2858">
        <v>39</v>
      </c>
      <c r="B113" s="3483"/>
      <c r="C113" s="2858" t="s">
        <v>2730</v>
      </c>
      <c r="D113" s="2832" t="s">
        <v>2731</v>
      </c>
      <c r="E113" s="2858">
        <v>0.1</v>
      </c>
      <c r="F113" s="2858">
        <v>15</v>
      </c>
    </row>
    <row r="114" spans="1:6" ht="24">
      <c r="A114" s="2858">
        <v>40</v>
      </c>
      <c r="B114" s="3489"/>
      <c r="C114" s="2858" t="s">
        <v>2732</v>
      </c>
      <c r="D114" s="2832" t="s">
        <v>2733</v>
      </c>
      <c r="E114" s="2858">
        <v>0.1</v>
      </c>
      <c r="F114" s="2858">
        <v>15</v>
      </c>
    </row>
    <row r="115" spans="1:6" ht="13.5">
      <c r="A115" s="2858">
        <v>41</v>
      </c>
      <c r="B115" s="3477" t="s">
        <v>2734</v>
      </c>
      <c r="C115" s="2858" t="s">
        <v>2735</v>
      </c>
      <c r="D115" s="2832" t="s">
        <v>2736</v>
      </c>
      <c r="E115" s="2858">
        <v>0.1</v>
      </c>
      <c r="F115" s="2858">
        <v>15</v>
      </c>
    </row>
    <row r="116" spans="1:6" ht="13.5">
      <c r="A116" s="2858">
        <v>42</v>
      </c>
      <c r="B116" s="3477"/>
      <c r="C116" s="2858" t="s">
        <v>2737</v>
      </c>
      <c r="D116" s="2832" t="s">
        <v>2738</v>
      </c>
      <c r="E116" s="2858">
        <v>0.1</v>
      </c>
      <c r="F116" s="2858">
        <v>15</v>
      </c>
    </row>
    <row r="117" spans="1:6" ht="24">
      <c r="A117" s="2858">
        <v>43</v>
      </c>
      <c r="B117" s="3477"/>
      <c r="C117" s="2858" t="s">
        <v>2739</v>
      </c>
      <c r="D117" s="2832" t="s">
        <v>2740</v>
      </c>
      <c r="E117" s="2858">
        <v>0.1</v>
      </c>
      <c r="F117" s="2858">
        <v>15</v>
      </c>
    </row>
    <row r="118" spans="1:6" ht="13.5">
      <c r="A118" s="2858">
        <v>44</v>
      </c>
      <c r="B118" s="3484" t="s">
        <v>2741</v>
      </c>
      <c r="C118" s="2858" t="s">
        <v>2742</v>
      </c>
      <c r="D118" s="2832" t="s">
        <v>2743</v>
      </c>
      <c r="E118" s="2858">
        <v>0.1</v>
      </c>
      <c r="F118" s="2858">
        <v>15</v>
      </c>
    </row>
    <row r="119" spans="1:6" ht="24">
      <c r="A119" s="2858">
        <v>45</v>
      </c>
      <c r="B119" s="3489"/>
      <c r="C119" s="2832" t="s">
        <v>2744</v>
      </c>
      <c r="D119" s="2832" t="s">
        <v>2745</v>
      </c>
      <c r="E119" s="2858">
        <v>0.1</v>
      </c>
      <c r="F119" s="2858">
        <v>15</v>
      </c>
    </row>
    <row r="120" spans="1:6" ht="24">
      <c r="A120" s="2858">
        <v>46</v>
      </c>
      <c r="B120" s="3484" t="s">
        <v>2746</v>
      </c>
      <c r="C120" s="2858" t="s">
        <v>2747</v>
      </c>
      <c r="D120" s="2832" t="s">
        <v>2748</v>
      </c>
      <c r="E120" s="2858">
        <v>0.1</v>
      </c>
      <c r="F120" s="2858">
        <v>15</v>
      </c>
    </row>
    <row r="121" spans="1:6" ht="24">
      <c r="A121" s="2858">
        <v>47</v>
      </c>
      <c r="B121" s="3489"/>
      <c r="C121" s="2858" t="s">
        <v>2749</v>
      </c>
      <c r="D121" s="2832" t="s">
        <v>2750</v>
      </c>
      <c r="E121" s="2858">
        <v>0.1</v>
      </c>
      <c r="F121" s="2858">
        <v>15</v>
      </c>
    </row>
    <row r="122" spans="1:6" ht="13.5">
      <c r="A122" s="2858">
        <v>48</v>
      </c>
      <c r="B122" s="3484" t="s">
        <v>2751</v>
      </c>
      <c r="C122" s="2858" t="s">
        <v>2752</v>
      </c>
      <c r="D122" s="2832" t="s">
        <v>2753</v>
      </c>
      <c r="E122" s="2858">
        <v>0.1</v>
      </c>
      <c r="F122" s="2858">
        <v>15</v>
      </c>
    </row>
    <row r="123" spans="1:6" ht="13.5">
      <c r="A123" s="2858">
        <v>49</v>
      </c>
      <c r="B123" s="3489"/>
      <c r="C123" s="2858" t="s">
        <v>2754</v>
      </c>
      <c r="D123" s="2832" t="s">
        <v>2755</v>
      </c>
      <c r="E123" s="2858">
        <v>0.1</v>
      </c>
      <c r="F123" s="2858">
        <v>15</v>
      </c>
    </row>
    <row r="124" spans="1:6" ht="24">
      <c r="A124" s="2858">
        <v>50</v>
      </c>
      <c r="B124" s="3477" t="s">
        <v>2756</v>
      </c>
      <c r="C124" s="2858" t="s">
        <v>2757</v>
      </c>
      <c r="D124" s="2832" t="s">
        <v>2758</v>
      </c>
      <c r="E124" s="2858">
        <v>0.1</v>
      </c>
      <c r="F124" s="2858">
        <v>15</v>
      </c>
    </row>
    <row r="125" spans="1:6" ht="24">
      <c r="A125" s="2858">
        <v>51</v>
      </c>
      <c r="B125" s="3477"/>
      <c r="C125" s="2858" t="s">
        <v>2759</v>
      </c>
      <c r="D125" s="2832" t="s">
        <v>2760</v>
      </c>
      <c r="E125" s="2858">
        <v>0.1</v>
      </c>
      <c r="F125" s="2858">
        <v>15</v>
      </c>
    </row>
    <row r="126" spans="1:6" ht="24">
      <c r="A126" s="2858">
        <v>52</v>
      </c>
      <c r="B126" s="3477" t="s">
        <v>2761</v>
      </c>
      <c r="C126" s="2858" t="s">
        <v>2762</v>
      </c>
      <c r="D126" s="2832" t="s">
        <v>2763</v>
      </c>
      <c r="E126" s="2858">
        <v>0.1</v>
      </c>
      <c r="F126" s="2858">
        <v>15</v>
      </c>
    </row>
    <row r="127" spans="1:6" ht="24">
      <c r="A127" s="2858">
        <v>53</v>
      </c>
      <c r="B127" s="3477"/>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77" t="s">
        <v>2769</v>
      </c>
      <c r="C129" s="2858" t="s">
        <v>2770</v>
      </c>
      <c r="D129" s="2832" t="s">
        <v>2771</v>
      </c>
      <c r="E129" s="2858">
        <v>0.1</v>
      </c>
      <c r="F129" s="2858">
        <v>15</v>
      </c>
    </row>
    <row r="130" spans="1:6" ht="13.5">
      <c r="A130" s="2858">
        <v>56</v>
      </c>
      <c r="B130" s="3477"/>
      <c r="C130" s="2858" t="s">
        <v>2772</v>
      </c>
      <c r="D130" s="2832" t="s">
        <v>2773</v>
      </c>
      <c r="E130" s="2858">
        <v>0.1</v>
      </c>
      <c r="F130" s="2858">
        <v>15</v>
      </c>
    </row>
    <row r="131" spans="1:6" ht="24">
      <c r="A131" s="2858">
        <v>57</v>
      </c>
      <c r="B131" s="3477"/>
      <c r="C131" s="2858" t="s">
        <v>2774</v>
      </c>
      <c r="D131" s="2832" t="s">
        <v>2775</v>
      </c>
      <c r="E131" s="2858">
        <v>0.1</v>
      </c>
      <c r="F131" s="2858">
        <v>15</v>
      </c>
    </row>
    <row r="132" spans="1:6" ht="24">
      <c r="A132" s="2858">
        <v>58</v>
      </c>
      <c r="B132" s="3477" t="s">
        <v>2776</v>
      </c>
      <c r="C132" s="2858" t="s">
        <v>2777</v>
      </c>
      <c r="D132" s="2832" t="s">
        <v>2778</v>
      </c>
      <c r="E132" s="2858">
        <v>0.1</v>
      </c>
      <c r="F132" s="2858">
        <v>15</v>
      </c>
    </row>
    <row r="133" spans="1:6" ht="13.5">
      <c r="A133" s="2858">
        <v>59</v>
      </c>
      <c r="B133" s="3477"/>
      <c r="C133" s="2858" t="s">
        <v>2779</v>
      </c>
      <c r="D133" s="2832" t="s">
        <v>2780</v>
      </c>
      <c r="E133" s="2858">
        <v>0.1</v>
      </c>
      <c r="F133" s="2858">
        <v>15</v>
      </c>
    </row>
    <row r="134" spans="1:6" ht="13.5">
      <c r="A134" s="2858">
        <v>60</v>
      </c>
      <c r="B134" s="3484" t="s">
        <v>2781</v>
      </c>
      <c r="C134" s="2858" t="s">
        <v>2782</v>
      </c>
      <c r="D134" s="2832" t="s">
        <v>2783</v>
      </c>
      <c r="E134" s="2858">
        <v>0.1</v>
      </c>
      <c r="F134" s="2858">
        <v>15</v>
      </c>
    </row>
    <row r="135" spans="1:6" ht="13.5">
      <c r="A135" s="2858">
        <v>61</v>
      </c>
      <c r="B135" s="3489"/>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77" t="s">
        <v>2789</v>
      </c>
      <c r="C137" s="2858" t="s">
        <v>2790</v>
      </c>
      <c r="D137" s="2832" t="s">
        <v>2791</v>
      </c>
      <c r="E137" s="2858">
        <v>0.1</v>
      </c>
      <c r="F137" s="2858">
        <v>15</v>
      </c>
    </row>
    <row r="138" spans="1:6" ht="13.5">
      <c r="A138" s="2858">
        <v>64</v>
      </c>
      <c r="B138" s="3477"/>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0.95120000000000005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33656</v>
      </c>
      <c r="C2" s="2" t="s">
        <v>106</v>
      </c>
      <c r="D2" s="191"/>
      <c r="E2" s="191"/>
      <c r="F2" s="191"/>
      <c r="G2" s="191"/>
    </row>
    <row r="3" spans="1:7" s="192" customFormat="1" ht="18" customHeight="1" thickBot="1">
      <c r="A3" s="195" t="s">
        <v>58</v>
      </c>
      <c r="B3" s="196">
        <f ca="1">ROUND(B2*10000/'数据-汇总表'!E3,0)</f>
        <v>38290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176</v>
      </c>
      <c r="D10" s="795">
        <f>'数据-汇总表'!E6</f>
        <v>8789.66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176</v>
      </c>
      <c r="D19" s="204">
        <f>'数据-汇总表'!E3</f>
        <v>8789.66</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1278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4240</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4240</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28978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4408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3955</v>
      </c>
      <c r="D34" s="209"/>
      <c r="E34" s="212"/>
      <c r="F34" s="249">
        <f>IF('数据-取费表'!B24=0,1,'数据-取费表'!N16)</f>
        <v>1</v>
      </c>
      <c r="G34" s="211" t="s">
        <v>89</v>
      </c>
    </row>
    <row r="35" spans="1:7" ht="13.5" customHeight="1">
      <c r="A35" s="734" t="s">
        <v>351</v>
      </c>
      <c r="B35" s="207" t="s">
        <v>33</v>
      </c>
      <c r="C35" s="212">
        <f>ROUND(C34*F35,0)</f>
        <v>198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176</v>
      </c>
      <c r="D37" s="209">
        <f>'数据-汇总表'!E3</f>
        <v>8789.66</v>
      </c>
      <c r="E37" s="241">
        <f>'数据-取费表'!B35</f>
        <v>200</v>
      </c>
      <c r="F37" s="251"/>
      <c r="G37" s="253" t="s">
        <v>92</v>
      </c>
    </row>
    <row r="38" spans="1:7" ht="13.5" customHeight="1">
      <c r="A38" s="734" t="s">
        <v>354</v>
      </c>
      <c r="B38" s="207" t="s">
        <v>36</v>
      </c>
      <c r="C38" s="212">
        <f>ROUND(C34*F38,0)</f>
        <v>79</v>
      </c>
      <c r="D38" s="212"/>
      <c r="E38" s="212"/>
      <c r="F38" s="251">
        <f>'数据-取费表'!B36</f>
        <v>0.02</v>
      </c>
      <c r="G38" s="211" t="s">
        <v>90</v>
      </c>
    </row>
    <row r="39" spans="1:7" s="206" customFormat="1" ht="13.5" customHeight="1">
      <c r="A39" s="731" t="s">
        <v>338</v>
      </c>
      <c r="B39" s="202" t="s">
        <v>77</v>
      </c>
      <c r="C39" s="224">
        <f>ROUND(C33*F20,0)</f>
        <v>88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132</v>
      </c>
      <c r="D42" s="230"/>
      <c r="E42" s="230"/>
      <c r="F42" s="231"/>
      <c r="G42" s="3353" t="s">
        <v>94</v>
      </c>
    </row>
    <row r="43" spans="1:7" ht="13.5" customHeight="1">
      <c r="A43" s="734" t="s">
        <v>347</v>
      </c>
      <c r="B43" s="207" t="s">
        <v>426</v>
      </c>
      <c r="C43" s="230">
        <f ca="1">ROUND(IF('数据-取费表'!B22&lt;=1,C39*F22*'数据-取费表'!B21/2,C39*(POWER((1+F22),'数据-取费表'!B21/2)-1)),0)</f>
        <v>3</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899</v>
      </c>
      <c r="D45" s="227">
        <f>C47</f>
        <v>4.0000000000000001E-3</v>
      </c>
      <c r="E45" s="228" t="s">
        <v>102</v>
      </c>
      <c r="F45" s="238"/>
      <c r="G45" s="239" t="s">
        <v>434</v>
      </c>
    </row>
    <row r="46" spans="1:7" s="206" customFormat="1" ht="13.5" customHeight="1">
      <c r="A46" s="734" t="s">
        <v>349</v>
      </c>
      <c r="B46" s="240" t="s">
        <v>427</v>
      </c>
      <c r="C46" s="241">
        <f>ROUND((C33+C39)*F27,0)</f>
        <v>899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5997</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4678</v>
      </c>
      <c r="D51" s="224"/>
      <c r="E51" s="224"/>
      <c r="F51" s="256"/>
      <c r="G51" s="226" t="s">
        <v>37</v>
      </c>
    </row>
    <row r="52" spans="1:7" s="200" customFormat="1" ht="16.5" thickBot="1">
      <c r="A52" s="257" t="s">
        <v>38</v>
      </c>
      <c r="B52" s="258"/>
      <c r="C52" s="259">
        <f ca="1">C31+C51</f>
        <v>33656</v>
      </c>
      <c r="D52" s="258"/>
      <c r="E52" s="258"/>
      <c r="F52" s="258"/>
      <c r="G52" s="260"/>
    </row>
    <row r="55" spans="1:7" ht="15">
      <c r="B55" s="262" t="s">
        <v>39</v>
      </c>
      <c r="C55" s="263"/>
    </row>
    <row r="56" spans="1:7">
      <c r="B56" s="265" t="s">
        <v>40</v>
      </c>
      <c r="C56" s="266">
        <f ca="1">ROUND(C51/C52,3)</f>
        <v>0.13900000000000001</v>
      </c>
    </row>
    <row r="57" spans="1:7">
      <c r="B57" s="265" t="s">
        <v>41</v>
      </c>
      <c r="C57" s="267">
        <f ca="1">1-C56</f>
        <v>0.86099999999999999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0" t="s">
        <v>3181</v>
      </c>
      <c r="B1" s="3490"/>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1" t="s">
        <v>3232</v>
      </c>
      <c r="B1" s="3491"/>
      <c r="C1" s="3491"/>
      <c r="D1" s="3491"/>
      <c r="E1" s="3491"/>
      <c r="F1" s="3492"/>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45862</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3380</v>
      </c>
    </row>
    <row r="27" spans="1:44">
      <c r="I27" s="1405" t="s">
        <v>2825</v>
      </c>
    </row>
    <row r="29" spans="1:44" s="2009" customFormat="1" ht="12.75">
      <c r="B29" s="2930" t="s">
        <v>3378</v>
      </c>
      <c r="C29" s="2931"/>
      <c r="D29" s="2931"/>
      <c r="E29" s="2931"/>
      <c r="F29" s="2931"/>
      <c r="G29" s="2931"/>
      <c r="H29" s="2931"/>
      <c r="I29" s="2931"/>
      <c r="J29" s="2897"/>
      <c r="K29" s="2931" t="s">
        <v>2826</v>
      </c>
      <c r="L29" s="2931"/>
      <c r="M29" s="2931"/>
      <c r="N29" s="2931"/>
      <c r="O29" s="2931"/>
      <c r="P29" s="2931"/>
      <c r="Q29" s="2897"/>
      <c r="R29" s="3493" t="s">
        <v>2827</v>
      </c>
      <c r="S29" s="3494"/>
      <c r="T29" s="3494"/>
      <c r="U29" s="3494"/>
      <c r="V29" s="3494"/>
      <c r="W29" s="3494"/>
      <c r="X29" s="2897"/>
      <c r="Y29" s="3493" t="s">
        <v>2828</v>
      </c>
      <c r="Z29" s="3494"/>
      <c r="AA29" s="3494"/>
      <c r="AB29" s="3494"/>
      <c r="AC29" s="3494"/>
      <c r="AD29" s="3494"/>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6" t="s">
        <v>2839</v>
      </c>
      <c r="B1" s="3506"/>
      <c r="C1" s="3506"/>
      <c r="D1" s="3506"/>
      <c r="E1" s="3506"/>
      <c r="F1" s="3506"/>
      <c r="G1" s="350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45862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8789.66</v>
      </c>
      <c r="C4" s="801">
        <f>项目基本情况!C18</f>
        <v>0</v>
      </c>
      <c r="D4" s="801">
        <f ca="1">结果表!D118</f>
        <v>11128</v>
      </c>
      <c r="E4" s="801">
        <f ca="1">结果表!E118</f>
        <v>12660</v>
      </c>
      <c r="F4" s="801">
        <f ca="1">结果表!F118</f>
        <v>3194</v>
      </c>
      <c r="G4" s="801">
        <f ca="1">结果表!G118</f>
        <v>3634</v>
      </c>
      <c r="H4" s="801">
        <f ca="1">结果表!H118</f>
        <v>14322</v>
      </c>
      <c r="I4" s="801">
        <f ca="1">结果表!I118</f>
        <v>16294</v>
      </c>
    </row>
    <row r="5" spans="1:9" ht="30" customHeight="1">
      <c r="A5" s="3184" t="s">
        <v>927</v>
      </c>
      <c r="B5" s="3184"/>
      <c r="C5" s="3184"/>
      <c r="D5" s="3184" t="str">
        <f ca="1">结果表!D119</f>
        <v>壹亿壹仟壹佰贰拾捌万元整</v>
      </c>
      <c r="E5" s="3184"/>
      <c r="F5" s="3184" t="str">
        <f ca="1">结果表!F119</f>
        <v>叁仟壹佰玖拾肆万元整</v>
      </c>
      <c r="G5" s="3184"/>
      <c r="H5" s="3184" t="str">
        <f ca="1">结果表!H119</f>
        <v>壹亿肆仟叁佰贰拾贰万元整</v>
      </c>
      <c r="I5" s="3184"/>
    </row>
    <row r="6" spans="1:9" ht="15.75">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75">
      <c r="A8" s="3185" t="str">
        <f>结果表!A122</f>
        <v>房地产抵押价值</v>
      </c>
      <c r="B8" s="3185"/>
      <c r="C8" s="3185"/>
      <c r="D8" s="3185">
        <f ca="1">结果表!D122</f>
        <v>14322</v>
      </c>
      <c r="E8" s="3185"/>
      <c r="F8" s="3185"/>
      <c r="G8" s="3185"/>
      <c r="H8" s="3185"/>
      <c r="I8" s="3185"/>
    </row>
    <row r="9" spans="1:9" ht="15">
      <c r="A9" s="3184" t="s">
        <v>927</v>
      </c>
      <c r="B9" s="3184"/>
      <c r="C9" s="3184"/>
      <c r="D9" s="3184" t="str">
        <f ca="1">结果表!D123</f>
        <v>壹亿肆仟叁佰贰拾贰万元整</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75">
      <c r="A12" s="3185" t="str">
        <f>结果表!A126</f>
        <v/>
      </c>
      <c r="B12" s="3185"/>
      <c r="C12" s="3185"/>
      <c r="D12" s="3185" t="str">
        <f>结果表!D126</f>
        <v>——</v>
      </c>
      <c r="E12" s="3185"/>
      <c r="F12" s="3185"/>
      <c r="G12" s="3185"/>
      <c r="H12" s="3185"/>
      <c r="I12" s="3185"/>
    </row>
    <row r="13" spans="1:9" ht="15.75" thickBot="1">
      <c r="A13" s="3189" t="s">
        <v>927</v>
      </c>
      <c r="B13" s="3189"/>
      <c r="C13" s="3189"/>
      <c r="D13" s="3189" t="e">
        <f>结果表!D127</f>
        <v>#VALUE!</v>
      </c>
      <c r="E13" s="3189"/>
      <c r="F13" s="3189"/>
      <c r="G13" s="3189"/>
      <c r="H13" s="3189"/>
      <c r="I13" s="3189"/>
    </row>
    <row r="14" spans="1:9" ht="15" thickTop="1">
      <c r="A14" s="3190" t="s">
        <v>932</v>
      </c>
      <c r="B14" s="3190"/>
      <c r="C14" s="3190"/>
      <c r="D14" s="3190"/>
      <c r="E14" s="3190"/>
      <c r="F14" s="3190"/>
      <c r="G14" s="3190"/>
      <c r="H14" s="3190"/>
      <c r="I14" s="319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1" t="s">
        <v>949</v>
      </c>
      <c r="B1" s="3191"/>
      <c r="C1" s="3191"/>
      <c r="D1" s="3191"/>
    </row>
    <row r="2" spans="1:4" ht="18">
      <c r="A2" s="3192" t="s">
        <v>933</v>
      </c>
      <c r="B2" s="3192"/>
      <c r="C2" s="3192"/>
      <c r="D2" s="319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2" t="s">
        <v>939</v>
      </c>
      <c r="B6" s="3192"/>
      <c r="C6" s="3192"/>
      <c r="D6" s="319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3"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5" t="s">
        <v>956</v>
      </c>
      <c r="B15" s="3200" t="s">
        <v>109</v>
      </c>
      <c r="C15" s="3201"/>
    </row>
    <row r="16" spans="1:7" ht="13.5">
      <c r="A16" s="3206"/>
      <c r="B16" s="3200" t="s">
        <v>42</v>
      </c>
      <c r="C16" s="3201"/>
    </row>
    <row r="17" spans="1:3" ht="13.5">
      <c r="A17" s="3206"/>
      <c r="B17" s="3203" t="s">
        <v>957</v>
      </c>
      <c r="C17" s="1429" t="s">
        <v>956</v>
      </c>
    </row>
    <row r="18" spans="1:3" ht="13.5">
      <c r="A18" s="3206"/>
      <c r="B18" s="3203"/>
      <c r="C18" s="1429" t="s">
        <v>958</v>
      </c>
    </row>
    <row r="19" spans="1:3" ht="13.5">
      <c r="A19" s="3206"/>
      <c r="B19" s="3203"/>
      <c r="C19" s="1429" t="s">
        <v>959</v>
      </c>
    </row>
    <row r="20" spans="1:3" ht="13.5">
      <c r="A20" s="3207"/>
      <c r="B20" s="3202" t="s">
        <v>960</v>
      </c>
      <c r="C20" s="3201"/>
    </row>
    <row r="21" spans="1:3" ht="13.5">
      <c r="A21" s="1430" t="s">
        <v>961</v>
      </c>
      <c r="B21" s="1431"/>
      <c r="C21" s="1432"/>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29" t="s">
        <v>967</v>
      </c>
    </row>
    <row r="26" spans="1:3" ht="13.5">
      <c r="A26" s="3204"/>
      <c r="B26" s="3203"/>
      <c r="C26" s="1429" t="s">
        <v>968</v>
      </c>
    </row>
    <row r="27" spans="1:3" ht="13.5">
      <c r="A27" s="3204"/>
      <c r="B27" s="3203"/>
      <c r="C27" s="1429" t="s">
        <v>969</v>
      </c>
    </row>
    <row r="28" spans="1:3" ht="13.5">
      <c r="A28" s="3204"/>
      <c r="B28" s="3203"/>
      <c r="C28" s="1429" t="s">
        <v>970</v>
      </c>
    </row>
    <row r="29" spans="1:3" ht="13.5">
      <c r="A29" s="3204"/>
      <c r="B29" s="3203"/>
      <c r="C29" s="1429" t="s">
        <v>971</v>
      </c>
    </row>
    <row r="30" spans="1:3" ht="13.5">
      <c r="A30" s="3204"/>
      <c r="B30" s="3203"/>
      <c r="C30" s="1429" t="s">
        <v>972</v>
      </c>
    </row>
    <row r="31" spans="1:3" ht="13.5">
      <c r="A31" s="3204"/>
      <c r="B31" s="3203"/>
      <c r="C31" s="1429" t="s">
        <v>973</v>
      </c>
    </row>
    <row r="32" spans="1:3" ht="13.5">
      <c r="A32" s="3204"/>
      <c r="B32" s="3203"/>
      <c r="C32" s="1429" t="s">
        <v>974</v>
      </c>
    </row>
    <row r="33" spans="1:3" ht="13.5">
      <c r="A33" s="3204"/>
      <c r="B33" s="320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45862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60"/>
      <c r="E18" s="3210" t="s">
        <v>2162</v>
      </c>
      <c r="F18" s="3209"/>
      <c r="G18" s="32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案例</vt:lpstr>
      <vt:lpstr>利润表</vt:lpstr>
      <vt:lpstr>物业台账明细</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2025-07-24T09:12:57Z</dcterms:modified>
</cp:coreProperties>
</file>