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比较法-工业" sheetId="37" state="hidden" r:id="rId20"/>
    <sheet name="比较法-仓储" sheetId="36" state="hidden" r:id="rId21"/>
    <sheet name="收益法" sheetId="15" r:id="rId22"/>
    <sheet name="成本法" sheetId="68" r:id="rId23"/>
    <sheet name="成本法 (元)" sheetId="69"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土地比较法-住宅、综合" sheetId="39" state="hidden" r:id="rId33"/>
    <sheet name="基准地价修正" sheetId="43" r:id="rId34"/>
    <sheet name="土地比较法-工业" sheetId="40" state="hidden" r:id="rId35"/>
    <sheet name="修正" sheetId="45" state="hidden" r:id="rId36"/>
    <sheet name="容积率修正" sheetId="46" state="hidden" r:id="rId37"/>
    <sheet name="基准地价修正 (2)" sheetId="79" r:id="rId38"/>
    <sheet name="基准地价（汇总）" sheetId="76"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r:id="rId47"/>
  </sheets>
  <definedNames>
    <definedName name="_xlnm._FilterDatabase" localSheetId="30" hidden="1">'比较法-办公'!$A$1:$L$50</definedName>
    <definedName name="_xlnm._FilterDatabase" localSheetId="20" hidden="1">'比较法-仓储'!$A$1:$L$37</definedName>
    <definedName name="_xlnm._FilterDatabase" localSheetId="31" hidden="1">'比较法-车位'!$A$1:$L$39</definedName>
    <definedName name="_xlnm._FilterDatabase" localSheetId="19"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20">'比较法-仓储'!$A$1:$K$42,'比较法-仓储'!$A$45:$M$96</definedName>
    <definedName name="_xlnm.Print_Area" localSheetId="31">'比较法-车位'!$A$1:$K$44,'比较法-车位'!$A$47:$M$102</definedName>
    <definedName name="_xlnm.Print_Area" localSheetId="19">'比较法-工业'!$A$1:$K$48,'比较法-工业'!$A$51:$M$113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3">基准地价修正!$A$1:$J$41,基准地价修正!$A$45:$H$88,基准地价修正!$R$1:$V$16</definedName>
    <definedName name="_xlnm.Print_Area" localSheetId="37">'基准地价修正 (2)'!$A$1:$J$41,'基准地价修正 (2)'!$A$45:$H$88,'基准地价修正 (2)'!$R$1:$V$16</definedName>
    <definedName name="_xlnm.Print_Area" localSheetId="24">假设开发法!$A$1:$K$32</definedName>
    <definedName name="_xlnm.Print_Area" localSheetId="18">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7">'基准地价修正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9" i="79" l="1"/>
  <c r="I13" i="4"/>
  <c r="D29" i="43"/>
  <c r="J37" i="77"/>
  <c r="F113" i="79" l="1"/>
  <c r="N99" i="79"/>
  <c r="M99" i="79"/>
  <c r="L99" i="79"/>
  <c r="K99" i="79"/>
  <c r="J99" i="79"/>
  <c r="I99" i="79"/>
  <c r="H99" i="79"/>
  <c r="G99" i="79"/>
  <c r="F99" i="79"/>
  <c r="E99" i="79"/>
  <c r="D99" i="79"/>
  <c r="D108" i="79" s="1"/>
  <c r="C99" i="79"/>
  <c r="D88" i="79"/>
  <c r="B88" i="79"/>
  <c r="B86" i="79"/>
  <c r="D85" i="79"/>
  <c r="B85" i="79"/>
  <c r="B84" i="79"/>
  <c r="B83" i="79"/>
  <c r="B82" i="79"/>
  <c r="D81" i="79"/>
  <c r="B81" i="79"/>
  <c r="M78" i="79"/>
  <c r="N78" i="79" s="1"/>
  <c r="K78" i="79"/>
  <c r="J78" i="79"/>
  <c r="D78" i="79"/>
  <c r="M77" i="79"/>
  <c r="N77" i="79" s="1"/>
  <c r="K77" i="79"/>
  <c r="J77" i="79"/>
  <c r="D77" i="79"/>
  <c r="B77" i="79"/>
  <c r="N76" i="79"/>
  <c r="M76" i="79"/>
  <c r="K76" i="79"/>
  <c r="J76" i="79" s="1"/>
  <c r="D76" i="79"/>
  <c r="N75" i="79"/>
  <c r="M75" i="79"/>
  <c r="K75" i="79"/>
  <c r="J75" i="79" s="1"/>
  <c r="D75" i="79"/>
  <c r="B75" i="79"/>
  <c r="M74" i="79"/>
  <c r="N74" i="79" s="1"/>
  <c r="K74" i="79"/>
  <c r="J74" i="79"/>
  <c r="D74" i="79"/>
  <c r="B74" i="79"/>
  <c r="N73" i="79"/>
  <c r="M73" i="79"/>
  <c r="K73" i="79"/>
  <c r="J73" i="79" s="1"/>
  <c r="D73" i="79"/>
  <c r="B73" i="79"/>
  <c r="M72" i="79"/>
  <c r="N72" i="79" s="1"/>
  <c r="K72" i="79"/>
  <c r="J72" i="79"/>
  <c r="D72" i="79"/>
  <c r="B72" i="79"/>
  <c r="N71" i="79"/>
  <c r="M71" i="79"/>
  <c r="K71" i="79"/>
  <c r="J71" i="79" s="1"/>
  <c r="D71" i="79"/>
  <c r="B71" i="79"/>
  <c r="M70" i="79"/>
  <c r="N70" i="79" s="1"/>
  <c r="K70" i="79"/>
  <c r="J70" i="79"/>
  <c r="F70" i="79"/>
  <c r="H78" i="79" s="1"/>
  <c r="D70" i="79"/>
  <c r="E70" i="79" s="1"/>
  <c r="B68" i="79" s="1"/>
  <c r="B70" i="79"/>
  <c r="M67" i="79"/>
  <c r="N67" i="79" s="1"/>
  <c r="K67" i="79"/>
  <c r="J67" i="79"/>
  <c r="D67" i="79"/>
  <c r="B67" i="79"/>
  <c r="N66" i="79"/>
  <c r="M66" i="79"/>
  <c r="K66" i="79"/>
  <c r="J66" i="79" s="1"/>
  <c r="D66" i="79"/>
  <c r="B66" i="79"/>
  <c r="M65" i="79"/>
  <c r="N65" i="79" s="1"/>
  <c r="K65" i="79"/>
  <c r="J65" i="79"/>
  <c r="D65" i="79"/>
  <c r="B65" i="79"/>
  <c r="N64" i="79"/>
  <c r="M64" i="79"/>
  <c r="K64" i="79"/>
  <c r="J64" i="79" s="1"/>
  <c r="D64" i="79"/>
  <c r="N63" i="79"/>
  <c r="M63" i="79"/>
  <c r="K63" i="79"/>
  <c r="J63" i="79" s="1"/>
  <c r="D63" i="79"/>
  <c r="B63" i="79"/>
  <c r="M62" i="79"/>
  <c r="N62" i="79" s="1"/>
  <c r="K62" i="79"/>
  <c r="J62" i="79"/>
  <c r="D62" i="79"/>
  <c r="M61" i="79"/>
  <c r="N61" i="79" s="1"/>
  <c r="K61" i="79"/>
  <c r="J61" i="79"/>
  <c r="D61" i="79"/>
  <c r="B61" i="79"/>
  <c r="N60" i="79"/>
  <c r="M60" i="79"/>
  <c r="K60" i="79"/>
  <c r="J60" i="79" s="1"/>
  <c r="D60" i="79"/>
  <c r="B60" i="79"/>
  <c r="M59" i="79"/>
  <c r="N59" i="79" s="1"/>
  <c r="K59" i="79"/>
  <c r="J59" i="79"/>
  <c r="F59" i="79"/>
  <c r="H67" i="79" s="1"/>
  <c r="D59" i="79"/>
  <c r="E59" i="79" s="1"/>
  <c r="B57" i="79" s="1"/>
  <c r="B59" i="79"/>
  <c r="M56" i="79"/>
  <c r="N56" i="79" s="1"/>
  <c r="K56" i="79"/>
  <c r="J56" i="79"/>
  <c r="D56" i="79"/>
  <c r="B56" i="79"/>
  <c r="N55" i="79"/>
  <c r="M55" i="79"/>
  <c r="K55" i="79"/>
  <c r="J55" i="79" s="1"/>
  <c r="D55" i="79"/>
  <c r="B55" i="79"/>
  <c r="M54" i="79"/>
  <c r="N54" i="79" s="1"/>
  <c r="K54" i="79"/>
  <c r="J54" i="79"/>
  <c r="D54" i="79"/>
  <c r="B54" i="79"/>
  <c r="N53" i="79"/>
  <c r="M53" i="79"/>
  <c r="K53" i="79"/>
  <c r="J53" i="79" s="1"/>
  <c r="D53" i="79"/>
  <c r="N52" i="79"/>
  <c r="M52" i="79"/>
  <c r="K52" i="79"/>
  <c r="J52" i="79" s="1"/>
  <c r="D52" i="79"/>
  <c r="B52" i="79"/>
  <c r="M51" i="79"/>
  <c r="N51" i="79" s="1"/>
  <c r="K51" i="79"/>
  <c r="J51" i="79"/>
  <c r="D51" i="79"/>
  <c r="M50" i="79"/>
  <c r="N50" i="79" s="1"/>
  <c r="K50" i="79"/>
  <c r="J50" i="79"/>
  <c r="D50" i="79"/>
  <c r="B50" i="79"/>
  <c r="N49" i="79"/>
  <c r="M49" i="79"/>
  <c r="K49" i="79"/>
  <c r="J49" i="79" s="1"/>
  <c r="D49" i="79"/>
  <c r="B49" i="79"/>
  <c r="M48" i="79"/>
  <c r="N48" i="79" s="1"/>
  <c r="K48" i="79"/>
  <c r="J48" i="79"/>
  <c r="F48" i="79"/>
  <c r="H56" i="79" s="1"/>
  <c r="D48" i="79"/>
  <c r="E48" i="79" s="1"/>
  <c r="B48" i="79"/>
  <c r="B46" i="79"/>
  <c r="H39" i="79"/>
  <c r="H38" i="79"/>
  <c r="H37" i="79"/>
  <c r="H36" i="79"/>
  <c r="H35" i="79"/>
  <c r="H34" i="79"/>
  <c r="H33" i="79"/>
  <c r="O28" i="79"/>
  <c r="M28" i="79"/>
  <c r="P23" i="79"/>
  <c r="J20" i="79"/>
  <c r="G20" i="79"/>
  <c r="E41" i="79" s="1"/>
  <c r="C41" i="79" s="1"/>
  <c r="E20" i="79"/>
  <c r="P28" i="79" s="1"/>
  <c r="M19" i="79"/>
  <c r="I19" i="79"/>
  <c r="G19" i="79"/>
  <c r="C18" i="79"/>
  <c r="F15" i="79"/>
  <c r="E15" i="79"/>
  <c r="D15" i="79"/>
  <c r="C15" i="79"/>
  <c r="AJ12" i="79"/>
  <c r="AH12" i="79"/>
  <c r="AF12" i="79"/>
  <c r="AD12" i="79"/>
  <c r="AB12" i="79"/>
  <c r="Z12" i="79"/>
  <c r="Y12" i="79"/>
  <c r="C12" i="79"/>
  <c r="M11"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C7" i="79"/>
  <c r="A7" i="79"/>
  <c r="M6" i="79"/>
  <c r="N4" i="79"/>
  <c r="N3" i="79"/>
  <c r="G3" i="79"/>
  <c r="F22" i="79" s="1"/>
  <c r="M2" i="79"/>
  <c r="I2" i="79"/>
  <c r="G2" i="79"/>
  <c r="N1" i="79"/>
  <c r="M1" i="79"/>
  <c r="D1" i="79"/>
  <c r="E11" i="79" l="1"/>
  <c r="E10" i="79"/>
  <c r="E9" i="79"/>
  <c r="E8" i="79"/>
  <c r="H113" i="79"/>
  <c r="O17" i="79"/>
  <c r="M17" i="79"/>
  <c r="K17" i="79"/>
  <c r="I17" i="79"/>
  <c r="D17" i="79"/>
  <c r="C6" i="79"/>
  <c r="AA10" i="79"/>
  <c r="AE10" i="79"/>
  <c r="AI10" i="79"/>
  <c r="H22" i="79"/>
  <c r="M12" i="79"/>
  <c r="N11" i="79"/>
  <c r="N10" i="79"/>
  <c r="M9" i="79"/>
  <c r="M8" i="79"/>
  <c r="M7" i="79"/>
  <c r="N6" i="79"/>
  <c r="F81" i="79" s="1"/>
  <c r="N5" i="79"/>
  <c r="M4" i="79"/>
  <c r="N2" i="79"/>
  <c r="M3" i="79"/>
  <c r="M5" i="79"/>
  <c r="N7" i="79"/>
  <c r="X7" i="79"/>
  <c r="N8" i="79"/>
  <c r="N9" i="79"/>
  <c r="M10" i="79"/>
  <c r="AC10" i="79"/>
  <c r="AG10" i="79"/>
  <c r="AA11" i="79"/>
  <c r="AE11" i="79"/>
  <c r="AI11" i="79"/>
  <c r="N12" i="79"/>
  <c r="E17" i="79"/>
  <c r="J17" i="79"/>
  <c r="N17" i="79"/>
  <c r="P25" i="79"/>
  <c r="P21" i="79"/>
  <c r="M20" i="79"/>
  <c r="O19" i="79"/>
  <c r="C19" i="79"/>
  <c r="P22" i="79"/>
  <c r="P24" i="79"/>
  <c r="F34" i="79"/>
  <c r="F36" i="79"/>
  <c r="F38" i="79"/>
  <c r="N101" i="79"/>
  <c r="L101" i="79"/>
  <c r="J101" i="79"/>
  <c r="H101" i="79"/>
  <c r="F101" i="79"/>
  <c r="D101" i="79"/>
  <c r="B113" i="79"/>
  <c r="M101" i="79"/>
  <c r="K101" i="79"/>
  <c r="I101" i="79"/>
  <c r="G101" i="79"/>
  <c r="E101" i="79"/>
  <c r="C101" i="79"/>
  <c r="J22" i="79"/>
  <c r="G22" i="79"/>
  <c r="E22" i="79"/>
  <c r="D22" i="79" s="1"/>
  <c r="C21" i="79" s="1"/>
  <c r="AJ11" i="79"/>
  <c r="AJ13" i="79" s="1"/>
  <c r="AH11" i="79"/>
  <c r="AH13" i="79" s="1"/>
  <c r="AF11" i="79"/>
  <c r="AF13" i="79" s="1"/>
  <c r="AD11" i="79"/>
  <c r="AD13" i="79" s="1"/>
  <c r="AB11" i="79"/>
  <c r="AB13" i="79" s="1"/>
  <c r="Z11" i="79"/>
  <c r="Z13" i="79" s="1"/>
  <c r="Z7" i="79"/>
  <c r="AA13" i="79"/>
  <c r="AE13" i="79"/>
  <c r="AI13" i="79"/>
  <c r="Y11" i="79"/>
  <c r="Y13" i="79" s="1"/>
  <c r="AC11" i="79"/>
  <c r="AC13" i="79" s="1"/>
  <c r="AG11" i="79"/>
  <c r="AG13" i="79" s="1"/>
  <c r="C17" i="79"/>
  <c r="H17" i="79"/>
  <c r="L17" i="79"/>
  <c r="F33" i="79"/>
  <c r="F35" i="79"/>
  <c r="F37" i="79"/>
  <c r="F39" i="79"/>
  <c r="H49" i="79"/>
  <c r="H52" i="79"/>
  <c r="H53" i="79"/>
  <c r="H55" i="79"/>
  <c r="H60" i="79"/>
  <c r="H63" i="79"/>
  <c r="H64" i="79"/>
  <c r="H66" i="79"/>
  <c r="H71" i="79"/>
  <c r="H73" i="79"/>
  <c r="H75" i="79"/>
  <c r="H76" i="79"/>
  <c r="C108" i="79"/>
  <c r="C100" i="79"/>
  <c r="E108" i="79"/>
  <c r="E109" i="79" s="1"/>
  <c r="E100" i="79"/>
  <c r="G108" i="79"/>
  <c r="G100" i="79"/>
  <c r="I108" i="79"/>
  <c r="I109" i="79" s="1"/>
  <c r="I100" i="79"/>
  <c r="K108" i="79"/>
  <c r="K100" i="79"/>
  <c r="M108" i="79"/>
  <c r="M109" i="79" s="1"/>
  <c r="M100" i="79"/>
  <c r="D100" i="79"/>
  <c r="N28" i="79"/>
  <c r="H48" i="79"/>
  <c r="H50" i="79"/>
  <c r="H51" i="79"/>
  <c r="H54" i="79"/>
  <c r="H59" i="79"/>
  <c r="H61" i="79"/>
  <c r="H62" i="79"/>
  <c r="H65" i="79"/>
  <c r="H70" i="79"/>
  <c r="H72" i="79"/>
  <c r="H74" i="79"/>
  <c r="H77" i="79"/>
  <c r="D109" i="79"/>
  <c r="F108" i="79"/>
  <c r="F109" i="79" s="1"/>
  <c r="F100" i="79"/>
  <c r="H108" i="79"/>
  <c r="H109" i="79" s="1"/>
  <c r="H100" i="79"/>
  <c r="J108" i="79"/>
  <c r="J109" i="79" s="1"/>
  <c r="J100" i="79"/>
  <c r="L108" i="79"/>
  <c r="L109" i="79" s="1"/>
  <c r="L100" i="79"/>
  <c r="N108" i="79"/>
  <c r="N109" i="79" s="1"/>
  <c r="N100" i="79"/>
  <c r="K33" i="77"/>
  <c r="K32" i="77"/>
  <c r="K31" i="77"/>
  <c r="K30" i="77"/>
  <c r="K27" i="77"/>
  <c r="K25" i="77"/>
  <c r="K24" i="77"/>
  <c r="K23" i="77"/>
  <c r="K19" i="77"/>
  <c r="K18" i="77"/>
  <c r="K17" i="77"/>
  <c r="K15" i="77"/>
  <c r="K14" i="77"/>
  <c r="K13" i="77"/>
  <c r="K12" i="77"/>
  <c r="K11" i="77"/>
  <c r="K34" i="77"/>
  <c r="K29" i="77"/>
  <c r="K28" i="77"/>
  <c r="K26" i="77"/>
  <c r="K22" i="77"/>
  <c r="K21" i="77"/>
  <c r="K20" i="77"/>
  <c r="J35" i="77"/>
  <c r="G82" i="43"/>
  <c r="G83" i="43"/>
  <c r="G84" i="43"/>
  <c r="G85" i="43"/>
  <c r="G86" i="43"/>
  <c r="G87" i="43"/>
  <c r="G88" i="43"/>
  <c r="G81" i="43"/>
  <c r="N6" i="1"/>
  <c r="Y6" i="1" s="1"/>
  <c r="J11" i="77"/>
  <c r="J12" i="77"/>
  <c r="J13" i="77"/>
  <c r="J14" i="77"/>
  <c r="J15" i="77"/>
  <c r="J16" i="77"/>
  <c r="J17" i="77"/>
  <c r="J18" i="77"/>
  <c r="J19" i="77"/>
  <c r="J20" i="77"/>
  <c r="J21" i="77"/>
  <c r="J22" i="77"/>
  <c r="J23" i="77"/>
  <c r="J24" i="77"/>
  <c r="J25" i="77"/>
  <c r="J26" i="77"/>
  <c r="J27" i="77"/>
  <c r="J28" i="77"/>
  <c r="J29" i="77"/>
  <c r="J30" i="77"/>
  <c r="J31" i="77"/>
  <c r="J32" i="77"/>
  <c r="J33" i="77"/>
  <c r="J34" i="77"/>
  <c r="J10" i="77"/>
  <c r="F19" i="6"/>
  <c r="I13" i="3"/>
  <c r="A3" i="3"/>
  <c r="F35" i="77"/>
  <c r="F6" i="77"/>
  <c r="H88" i="79" l="1"/>
  <c r="G88" i="79" s="1"/>
  <c r="H87" i="79"/>
  <c r="G87" i="79" s="1"/>
  <c r="H86" i="79"/>
  <c r="G86" i="79" s="1"/>
  <c r="H85" i="79"/>
  <c r="G85" i="79" s="1"/>
  <c r="H84" i="79"/>
  <c r="G84" i="79" s="1"/>
  <c r="H83" i="79"/>
  <c r="G83" i="79" s="1"/>
  <c r="H82" i="79"/>
  <c r="G82" i="79" s="1"/>
  <c r="H81" i="79"/>
  <c r="G81" i="79" s="1"/>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F107" i="79"/>
  <c r="F106" i="79"/>
  <c r="F105" i="79"/>
  <c r="F104" i="79"/>
  <c r="F103" i="79"/>
  <c r="F102" i="79"/>
  <c r="J107" i="79"/>
  <c r="J106" i="79"/>
  <c r="J105" i="79"/>
  <c r="J104" i="79"/>
  <c r="J103" i="79"/>
  <c r="J102" i="79"/>
  <c r="N107" i="79"/>
  <c r="N106" i="79"/>
  <c r="N105" i="79"/>
  <c r="N104" i="79"/>
  <c r="N103" i="79"/>
  <c r="N102" i="79"/>
  <c r="K109" i="79"/>
  <c r="G109" i="79"/>
  <c r="C109" i="79"/>
  <c r="G17" i="79"/>
  <c r="C16" i="79" s="1"/>
  <c r="D5" i="79" s="1"/>
  <c r="E107" i="79"/>
  <c r="E106" i="79"/>
  <c r="E105" i="79"/>
  <c r="E104" i="79"/>
  <c r="E103" i="79"/>
  <c r="E102" i="79"/>
  <c r="I107" i="79"/>
  <c r="I106" i="79"/>
  <c r="I105" i="79"/>
  <c r="I104" i="79"/>
  <c r="I103" i="79"/>
  <c r="I102" i="79"/>
  <c r="M107" i="79"/>
  <c r="M106" i="79"/>
  <c r="M105" i="79"/>
  <c r="M104" i="79"/>
  <c r="M103" i="79"/>
  <c r="M102" i="79"/>
  <c r="D107" i="79"/>
  <c r="D106" i="79"/>
  <c r="D105" i="79"/>
  <c r="D104" i="79"/>
  <c r="D103" i="79"/>
  <c r="D102" i="79"/>
  <c r="H107" i="79"/>
  <c r="H106" i="79"/>
  <c r="H105" i="79"/>
  <c r="H104" i="79"/>
  <c r="H103" i="79"/>
  <c r="H102" i="79"/>
  <c r="L107" i="79"/>
  <c r="L106" i="79"/>
  <c r="L105" i="79"/>
  <c r="L104" i="79"/>
  <c r="L103" i="79"/>
  <c r="L102" i="79"/>
  <c r="C5" i="79"/>
  <c r="K35" i="77"/>
  <c r="AH5" i="71"/>
  <c r="AG5" i="71"/>
  <c r="AF5" i="71"/>
  <c r="AE5" i="71"/>
  <c r="AD5" i="71"/>
  <c r="Q5" i="71"/>
  <c r="P5" i="71"/>
  <c r="O5" i="71"/>
  <c r="N5" i="71"/>
  <c r="S5" i="79" l="1"/>
  <c r="S3" i="79"/>
  <c r="S6" i="79"/>
  <c r="S2" i="79"/>
  <c r="C23" i="79"/>
  <c r="S4" i="79"/>
  <c r="S7" i="79"/>
  <c r="M81" i="79"/>
  <c r="N81" i="79" s="1"/>
  <c r="K81" i="79"/>
  <c r="J81" i="79" s="1"/>
  <c r="M83" i="79"/>
  <c r="N83" i="79" s="1"/>
  <c r="K83" i="79"/>
  <c r="M85" i="79"/>
  <c r="N85" i="79" s="1"/>
  <c r="K85" i="79"/>
  <c r="J85" i="79" s="1"/>
  <c r="K87" i="79"/>
  <c r="M87" i="79"/>
  <c r="N87" i="79" s="1"/>
  <c r="C115" i="79"/>
  <c r="D113" i="79"/>
  <c r="M82" i="79"/>
  <c r="N82" i="79" s="1"/>
  <c r="K82" i="79"/>
  <c r="M84" i="79"/>
  <c r="N84" i="79" s="1"/>
  <c r="D84" i="79" s="1"/>
  <c r="K84" i="79"/>
  <c r="J84" i="79" s="1"/>
  <c r="M86" i="79"/>
  <c r="N86" i="79" s="1"/>
  <c r="K86" i="79"/>
  <c r="J86" i="79" s="1"/>
  <c r="D86" i="79" s="1"/>
  <c r="K88" i="79"/>
  <c r="J88" i="79" s="1"/>
  <c r="M88" i="79"/>
  <c r="N88" i="79" s="1"/>
  <c r="AH6" i="71"/>
  <c r="AG6" i="71"/>
  <c r="AE6" i="71"/>
  <c r="AF6" i="71" s="1"/>
  <c r="AD6" i="71"/>
  <c r="Q6" i="71"/>
  <c r="AB5" i="71" s="1"/>
  <c r="P6" i="71"/>
  <c r="AA5" i="71" s="1"/>
  <c r="O6" i="71"/>
  <c r="Y5" i="71" s="1"/>
  <c r="Z5" i="71" s="1"/>
  <c r="N6" i="71"/>
  <c r="X5" i="71" s="1"/>
  <c r="J82" i="79" l="1"/>
  <c r="D82" i="79"/>
  <c r="J83" i="79"/>
  <c r="D83" i="79"/>
  <c r="D87" i="79"/>
  <c r="J87" i="79"/>
  <c r="V8" i="71"/>
  <c r="U8" i="71"/>
  <c r="T8" i="71"/>
  <c r="S8" i="71"/>
  <c r="E81" i="79" l="1"/>
  <c r="B79" i="79" s="1"/>
  <c r="C24" i="79" s="1"/>
  <c r="E20" i="43"/>
  <c r="C38" i="79" l="1"/>
  <c r="C39" i="79"/>
  <c r="AH7" i="71"/>
  <c r="AG7" i="71"/>
  <c r="AE7" i="71"/>
  <c r="AF7" i="71" s="1"/>
  <c r="AD7" i="71"/>
  <c r="Q7" i="71"/>
  <c r="AB6" i="71" s="1"/>
  <c r="P7" i="71"/>
  <c r="AA6" i="71" s="1"/>
  <c r="O7" i="71"/>
  <c r="Y6" i="71" s="1"/>
  <c r="Z6" i="71" s="1"/>
  <c r="N7" i="71"/>
  <c r="X6" i="71" s="1"/>
  <c r="G39" i="79" l="1"/>
  <c r="I39" i="79" s="1"/>
  <c r="E39" i="79"/>
  <c r="G38" i="79"/>
  <c r="I38" i="79" s="1"/>
  <c r="E38" i="79"/>
  <c r="AH8" i="7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B19" i="72" s="1"/>
  <c r="K59" i="67"/>
  <c r="P61" i="67"/>
  <c r="K59" i="15"/>
  <c r="P74" i="15" s="1"/>
  <c r="P61" i="15"/>
  <c r="P74" i="67"/>
  <c r="D116" i="39"/>
  <c r="E116" i="39"/>
  <c r="F116" i="39"/>
  <c r="G116" i="39"/>
  <c r="H116" i="39"/>
  <c r="I116" i="39"/>
  <c r="J116" i="39"/>
  <c r="K116" i="39"/>
  <c r="L116" i="39"/>
  <c r="M116" i="39"/>
  <c r="C116" i="39"/>
  <c r="A21" i="62"/>
  <c r="A20" i="62"/>
  <c r="A22" i="51"/>
  <c r="B17" i="72" s="1"/>
  <c r="A21" i="51"/>
  <c r="A20" i="51"/>
  <c r="A15" i="62"/>
  <c r="A14" i="62"/>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88" i="43"/>
  <c r="D81" i="43"/>
  <c r="D67" i="43"/>
  <c r="D60" i="43"/>
  <c r="D61" i="43"/>
  <c r="D62" i="43"/>
  <c r="D63" i="43"/>
  <c r="D64" i="43"/>
  <c r="D65" i="43"/>
  <c r="D66" i="43"/>
  <c r="D59" i="43"/>
  <c r="E59" i="43"/>
  <c r="B57" i="43"/>
  <c r="M88" i="43"/>
  <c r="N88" i="43"/>
  <c r="K88" i="43"/>
  <c r="J88" i="43"/>
  <c r="M87" i="43"/>
  <c r="N87" i="43"/>
  <c r="K87" i="43"/>
  <c r="D87" i="43" s="1"/>
  <c r="J87" i="43"/>
  <c r="M86" i="43"/>
  <c r="N86" i="43"/>
  <c r="K86" i="43"/>
  <c r="J86" i="43"/>
  <c r="D86" i="43" s="1"/>
  <c r="M85" i="43"/>
  <c r="N85" i="43"/>
  <c r="K85" i="43"/>
  <c r="J85" i="43"/>
  <c r="M84" i="43"/>
  <c r="N84" i="43"/>
  <c r="D84" i="43" s="1"/>
  <c r="K84" i="43"/>
  <c r="J84" i="43"/>
  <c r="M83" i="43"/>
  <c r="N83" i="43"/>
  <c r="K83" i="43"/>
  <c r="D83" i="43" s="1"/>
  <c r="J83" i="43"/>
  <c r="M82" i="43"/>
  <c r="N82" i="43"/>
  <c r="K82" i="43"/>
  <c r="D82" i="43" s="1"/>
  <c r="E81" i="43" s="1"/>
  <c r="B79" i="43" s="1"/>
  <c r="C24" i="43" s="1"/>
  <c r="J82" i="43"/>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H113" i="43"/>
  <c r="F48" i="43"/>
  <c r="H52" i="43" s="1"/>
  <c r="F70" i="43"/>
  <c r="H73" i="43" s="1"/>
  <c r="M11" i="43"/>
  <c r="D17" i="43"/>
  <c r="F39" i="43"/>
  <c r="I17" i="43"/>
  <c r="F35" i="43"/>
  <c r="J17" i="43"/>
  <c r="F6" i="1"/>
  <c r="C20" i="79"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85" i="3" s="1"/>
  <c r="BA13" i="3"/>
  <c r="E10" i="6"/>
  <c r="BA5" i="3"/>
  <c r="E27" i="6" s="1"/>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57" i="40"/>
  <c r="E56" i="40"/>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F81" i="43" s="1"/>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9" i="69"/>
  <c r="C9" i="69" s="1"/>
  <c r="AR11"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K14" i="1"/>
  <c r="M14" i="1" s="1"/>
  <c r="BL5" i="3"/>
  <c r="E134" i="3"/>
  <c r="E254" i="3"/>
  <c r="E148" i="3"/>
  <c r="E228" i="3"/>
  <c r="E269" i="3"/>
  <c r="E181" i="3"/>
  <c r="E122" i="3"/>
  <c r="E15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P7" i="1" s="1"/>
  <c r="AB45" i="21"/>
  <c r="AC33" i="21"/>
  <c r="W33" i="21"/>
  <c r="S33" i="21"/>
  <c r="AA33" i="21"/>
  <c r="W32" i="21"/>
  <c r="AC32" i="21"/>
  <c r="AB9" i="21"/>
  <c r="U9" i="21"/>
  <c r="AA32" i="21"/>
  <c r="S32" i="21"/>
  <c r="W9" i="21"/>
  <c r="AC9" i="21"/>
  <c r="AB32" i="21"/>
  <c r="U32" i="21"/>
  <c r="AA10" i="21"/>
  <c r="S10" i="21"/>
  <c r="E6" i="70"/>
  <c r="E2" i="70"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7" i="4"/>
  <c r="B4" i="52" s="1"/>
  <c r="B43" i="72" s="1"/>
  <c r="D37" i="11"/>
  <c r="L18" i="9"/>
  <c r="D14" i="12"/>
  <c r="D17" i="12" s="1"/>
  <c r="C17" i="12" s="1"/>
  <c r="D3" i="37"/>
  <c r="M18" i="9"/>
  <c r="B118" i="9" s="1"/>
  <c r="B14" i="74" s="1"/>
  <c r="B1" i="74" s="1"/>
  <c r="AC11" i="37"/>
  <c r="W11" i="37"/>
  <c r="W11" i="34"/>
  <c r="AC11" i="34"/>
  <c r="D10" i="11"/>
  <c r="C10" i="11" s="1"/>
  <c r="D20" i="12"/>
  <c r="C20" i="12" s="1"/>
  <c r="R7" i="1"/>
  <c r="F34" i="11"/>
  <c r="C37" i="11" s="1"/>
  <c r="F11" i="12"/>
  <c r="C23" i="12" s="1"/>
  <c r="F34" i="68"/>
  <c r="R8" i="1"/>
  <c r="D10" i="69"/>
  <c r="C10"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68" i="39"/>
  <c r="F68" i="39" s="1"/>
  <c r="V16" i="71"/>
  <c r="C16" i="71"/>
  <c r="D17" i="71"/>
  <c r="E41" i="43"/>
  <c r="C41" i="43"/>
  <c r="C20" i="43"/>
  <c r="I59" i="34"/>
  <c r="J59" i="34" s="1"/>
  <c r="D14" i="71"/>
  <c r="T16" i="71"/>
  <c r="D15" i="71"/>
  <c r="D16" i="71"/>
  <c r="U16" i="71"/>
  <c r="D7" i="73"/>
  <c r="AO9" i="1"/>
  <c r="F7" i="67"/>
  <c r="M29" i="15"/>
  <c r="D2" i="36"/>
  <c r="C76" i="67"/>
  <c r="F16" i="67"/>
  <c r="F6" i="73"/>
  <c r="M6" i="67"/>
  <c r="AO10" i="1"/>
  <c r="E8" i="76"/>
  <c r="M24" i="67"/>
  <c r="E13" i="76"/>
  <c r="C76" i="15"/>
  <c r="F6" i="67"/>
  <c r="AO7" i="1"/>
  <c r="M23" i="15"/>
  <c r="F41" i="67"/>
  <c r="M29" i="67"/>
  <c r="F7" i="15"/>
  <c r="E10" i="76"/>
  <c r="M26" i="67"/>
  <c r="M21" i="67"/>
  <c r="F40" i="67"/>
  <c r="M9" i="15"/>
  <c r="B8" i="76"/>
  <c r="F8" i="67"/>
  <c r="D2" i="35"/>
  <c r="E11" i="76"/>
  <c r="F6" i="15"/>
  <c r="F9" i="67"/>
  <c r="J15" i="15"/>
  <c r="F3" i="73"/>
  <c r="M27" i="67"/>
  <c r="B10" i="76"/>
  <c r="D5" i="73"/>
  <c r="F35" i="67"/>
  <c r="D4" i="73"/>
  <c r="F43" i="67"/>
  <c r="AO13" i="1"/>
  <c r="E2" i="69"/>
  <c r="M26" i="15"/>
  <c r="M6" i="15"/>
  <c r="F4" i="73"/>
  <c r="E9" i="76"/>
  <c r="M23" i="67"/>
  <c r="B13" i="76"/>
  <c r="M22" i="67"/>
  <c r="F26" i="67"/>
  <c r="F42" i="15"/>
  <c r="M22" i="15"/>
  <c r="J15" i="67"/>
  <c r="L48" i="67"/>
  <c r="F43" i="15"/>
  <c r="M8" i="15"/>
  <c r="M28" i="15"/>
  <c r="D2" i="33"/>
  <c r="M28" i="67"/>
  <c r="F37" i="67"/>
  <c r="D2" i="34"/>
  <c r="F38" i="15"/>
  <c r="F26" i="15"/>
  <c r="E2" i="68"/>
  <c r="D6" i="73"/>
  <c r="F40" i="15"/>
  <c r="F9" i="15"/>
  <c r="D2" i="21"/>
  <c r="E7" i="76"/>
  <c r="M8" i="67"/>
  <c r="F13" i="15"/>
  <c r="L47" i="15"/>
  <c r="F5" i="73"/>
  <c r="B11" i="76"/>
  <c r="F16" i="15"/>
  <c r="M27" i="15"/>
  <c r="B12" i="76"/>
  <c r="D3" i="73"/>
  <c r="AO11" i="1"/>
  <c r="F42" i="67"/>
  <c r="F20" i="31"/>
  <c r="F36" i="15"/>
  <c r="AO8" i="1"/>
  <c r="F13" i="67"/>
  <c r="AO12" i="1"/>
  <c r="B9" i="76"/>
  <c r="L48" i="15"/>
  <c r="M24" i="15"/>
  <c r="F38" i="67"/>
  <c r="E12" i="76"/>
  <c r="F37" i="15"/>
  <c r="M9" i="67"/>
  <c r="F7" i="73"/>
  <c r="F8" i="15"/>
  <c r="F36" i="67"/>
  <c r="D2" i="37"/>
  <c r="L47" i="67"/>
  <c r="B7" i="76"/>
  <c r="C34" i="79" l="1"/>
  <c r="C33" i="79"/>
  <c r="T12" i="79"/>
  <c r="V12" i="79" s="1"/>
  <c r="C29" i="79"/>
  <c r="C36" i="79"/>
  <c r="C35" i="79"/>
  <c r="T13" i="79"/>
  <c r="V13" i="79" s="1"/>
  <c r="T16" i="79"/>
  <c r="V16" i="79" s="1"/>
  <c r="T7" i="79"/>
  <c r="V7" i="79" s="1"/>
  <c r="T2" i="79"/>
  <c r="V2" i="79" s="1"/>
  <c r="T4" i="79"/>
  <c r="V4" i="79" s="1"/>
  <c r="C37" i="79"/>
  <c r="T14" i="79"/>
  <c r="V14" i="79" s="1"/>
  <c r="T8" i="79"/>
  <c r="V8" i="79" s="1"/>
  <c r="T11" i="79"/>
  <c r="V11" i="79" s="1"/>
  <c r="T15" i="79"/>
  <c r="V15" i="79" s="1"/>
  <c r="T9" i="79"/>
  <c r="V9" i="79" s="1"/>
  <c r="T10" i="79"/>
  <c r="V10" i="79" s="1"/>
  <c r="T5" i="79"/>
  <c r="V5" i="79" s="1"/>
  <c r="T6" i="79"/>
  <c r="V6" i="79" s="1"/>
  <c r="T3" i="79"/>
  <c r="V3" i="79" s="1"/>
  <c r="G17" i="43"/>
  <c r="C16" i="43" s="1"/>
  <c r="E10" i="43"/>
  <c r="E8" i="43"/>
  <c r="E11" i="43"/>
  <c r="E9" i="43"/>
  <c r="H83" i="43"/>
  <c r="H82" i="43"/>
  <c r="H85" i="43"/>
  <c r="H84" i="43"/>
  <c r="H86" i="43"/>
  <c r="H87" i="43"/>
  <c r="H81" i="43"/>
  <c r="H88" i="43"/>
  <c r="C94" i="9"/>
  <c r="C92" i="9"/>
  <c r="F30" i="69"/>
  <c r="F48" i="69" s="1"/>
  <c r="D68" i="9"/>
  <c r="M18" i="15"/>
  <c r="F52" i="9"/>
  <c r="C30" i="69"/>
  <c r="F32" i="15"/>
  <c r="F60" i="15" s="1"/>
  <c r="F32" i="67"/>
  <c r="F60" i="67" s="1"/>
  <c r="F28" i="67"/>
  <c r="C28" i="67" s="1"/>
  <c r="C77" i="9"/>
  <c r="C74" i="9" s="1"/>
  <c r="C13" i="12"/>
  <c r="C30" i="11"/>
  <c r="F54" i="9"/>
  <c r="F28" i="15"/>
  <c r="C28" i="15" s="1"/>
  <c r="C48" i="69"/>
  <c r="M18" i="67"/>
  <c r="F31" i="12"/>
  <c r="C31" i="12" s="1"/>
  <c r="F30" i="68"/>
  <c r="F53" i="9"/>
  <c r="C21" i="69"/>
  <c r="C19" i="11"/>
  <c r="C20" i="11" s="1"/>
  <c r="C36" i="69"/>
  <c r="D22" i="67"/>
  <c r="E117" i="3"/>
  <c r="E180" i="3"/>
  <c r="E161" i="3"/>
  <c r="E221" i="3"/>
  <c r="E290" i="3"/>
  <c r="E91" i="3"/>
  <c r="E135" i="3"/>
  <c r="E61"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AY6" i="3"/>
  <c r="AR7"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E30" i="6"/>
  <c r="K15" i="1"/>
  <c r="K16" i="1" s="1"/>
  <c r="K20" i="6"/>
  <c r="M20" i="6" s="1"/>
  <c r="I20" i="6" s="1"/>
  <c r="K26" i="6"/>
  <c r="M26" i="6" s="1"/>
  <c r="I26" i="6" s="1"/>
  <c r="K25" i="6"/>
  <c r="M25" i="6" s="1"/>
  <c r="I25" i="6" s="1"/>
  <c r="K23" i="6"/>
  <c r="M23" i="6" s="1"/>
  <c r="I23" i="6" s="1"/>
  <c r="S23" i="6" s="1"/>
  <c r="K24" i="6"/>
  <c r="M24" i="6" s="1"/>
  <c r="I24" i="6" s="1"/>
  <c r="K19" i="6"/>
  <c r="E66" i="39"/>
  <c r="F31" i="6"/>
  <c r="E59" i="40"/>
  <c r="D19" i="12"/>
  <c r="C19" i="12" s="1"/>
  <c r="E16" i="6"/>
  <c r="O14" i="1"/>
  <c r="P14" i="1" s="1"/>
  <c r="O12" i="1"/>
  <c r="P12" i="1" s="1"/>
  <c r="O9" i="1"/>
  <c r="P9" i="1" s="1"/>
  <c r="O8" i="1"/>
  <c r="M16" i="1"/>
  <c r="C34" i="11" s="1"/>
  <c r="P8" i="1"/>
  <c r="S25" i="6"/>
  <c r="S24" i="6"/>
  <c r="O11" i="1"/>
  <c r="P11" i="1" s="1"/>
  <c r="S20" i="6"/>
  <c r="C36" i="11"/>
  <c r="C34" i="69"/>
  <c r="C35" i="69" s="1"/>
  <c r="T7" i="1"/>
  <c r="H16" i="1"/>
  <c r="Q16" i="1"/>
  <c r="K22" i="6"/>
  <c r="M22" i="6" s="1"/>
  <c r="I22" i="6" s="1"/>
  <c r="K21" i="6"/>
  <c r="M21" i="6" s="1"/>
  <c r="I21" i="6" s="1"/>
  <c r="E31" i="6"/>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D5" i="43"/>
  <c r="C35" i="43" s="1"/>
  <c r="E35" i="43" s="1"/>
  <c r="C5" i="43"/>
  <c r="T11" i="43" s="1"/>
  <c r="V11" i="43" s="1"/>
  <c r="C8" i="74"/>
  <c r="C7" i="74"/>
  <c r="D12" i="52"/>
  <c r="D127" i="9"/>
  <c r="D13" i="52" s="1"/>
  <c r="E70" i="39"/>
  <c r="T14" i="43"/>
  <c r="V14" i="43" s="1"/>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T12" i="43"/>
  <c r="V12" i="43" s="1"/>
  <c r="Y12" i="71"/>
  <c r="Z12" i="71" s="1"/>
  <c r="Y11" i="71"/>
  <c r="AA12" i="71"/>
  <c r="AB3" i="71"/>
  <c r="T9" i="43"/>
  <c r="V9" i="43" s="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C14" i="12"/>
  <c r="AF3" i="71"/>
  <c r="P22" i="43" s="1"/>
  <c r="T10" i="43"/>
  <c r="V10" i="43" s="1"/>
  <c r="T13" i="43"/>
  <c r="V13" i="43" s="1"/>
  <c r="C8" i="69"/>
  <c r="C5" i="69" s="1"/>
  <c r="D19" i="69"/>
  <c r="C19" i="69"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4" i="68"/>
  <c r="C16" i="15"/>
  <c r="C16" i="67"/>
  <c r="C36" i="68"/>
  <c r="C17" i="67"/>
  <c r="D10" i="68"/>
  <c r="C17" i="15"/>
  <c r="C14" i="67"/>
  <c r="C14" i="15"/>
  <c r="D9" i="68"/>
  <c r="G1" i="73"/>
  <c r="E37" i="79" l="1"/>
  <c r="G37" i="79"/>
  <c r="I37" i="79" s="1"/>
  <c r="E35" i="79"/>
  <c r="G35" i="79"/>
  <c r="I35" i="79" s="1"/>
  <c r="E29" i="79"/>
  <c r="C30" i="79"/>
  <c r="E30" i="79" s="1"/>
  <c r="E33" i="79"/>
  <c r="G33" i="79"/>
  <c r="I33" i="79" s="1"/>
  <c r="E36" i="79"/>
  <c r="G36" i="79"/>
  <c r="I36" i="79" s="1"/>
  <c r="E34" i="79"/>
  <c r="G34" i="79"/>
  <c r="I34" i="79" s="1"/>
  <c r="C35" i="68"/>
  <c r="C38" i="68"/>
  <c r="C9" i="68"/>
  <c r="D19" i="68"/>
  <c r="C19" i="68" s="1"/>
  <c r="C10" i="68"/>
  <c r="B29" i="1" s="1"/>
  <c r="C18" i="12" s="1"/>
  <c r="C38" i="69"/>
  <c r="C37" i="43"/>
  <c r="E37" i="43" s="1"/>
  <c r="C39" i="43"/>
  <c r="C36" i="43"/>
  <c r="E36" i="43" s="1"/>
  <c r="C38" i="43"/>
  <c r="C33" i="43"/>
  <c r="C34" i="43"/>
  <c r="F48" i="68"/>
  <c r="C30" i="68"/>
  <c r="C48" i="68"/>
  <c r="M19" i="6"/>
  <c r="S6" i="1"/>
  <c r="D22" i="4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186" i="3"/>
  <c r="AY150" i="3"/>
  <c r="AY130" i="3"/>
  <c r="AY279" i="3"/>
  <c r="AY243" i="3"/>
  <c r="AY226" i="3"/>
  <c r="AY393" i="3"/>
  <c r="AY356" i="3"/>
  <c r="AY325" i="3"/>
  <c r="AY340" i="3"/>
  <c r="AY308" i="3"/>
  <c r="AY467" i="3"/>
  <c r="AY464"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81" i="3"/>
  <c r="AY161" i="3"/>
  <c r="AY121" i="3"/>
  <c r="AY275" i="3"/>
  <c r="AY258" i="3"/>
  <c r="AY215" i="3"/>
  <c r="AY370" i="3"/>
  <c r="AY341" i="3"/>
  <c r="AY309" i="3"/>
  <c r="AY324" i="3"/>
  <c r="AY483" i="3"/>
  <c r="AY480" i="3"/>
  <c r="AY449"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C18" i="15"/>
  <c r="C15" i="15"/>
  <c r="S26" i="6"/>
  <c r="C38" i="11"/>
  <c r="C35" i="11"/>
  <c r="K27" i="6"/>
  <c r="P16" i="1"/>
  <c r="C11" i="12" s="1"/>
  <c r="C12" i="12" s="1"/>
  <c r="S22" i="6"/>
  <c r="H22" i="6"/>
  <c r="N16" i="1"/>
  <c r="L16" i="1"/>
  <c r="H21" i="6"/>
  <c r="S21" i="6"/>
  <c r="F28" i="12"/>
  <c r="C29" i="12" s="1"/>
  <c r="D28" i="12" s="1"/>
  <c r="F27" i="11"/>
  <c r="F27" i="69"/>
  <c r="O16" i="1"/>
  <c r="N102" i="43"/>
  <c r="N105" i="43"/>
  <c r="N104" i="43"/>
  <c r="N103" i="43"/>
  <c r="N106" i="43"/>
  <c r="N107" i="43"/>
  <c r="N109" i="43"/>
  <c r="K103" i="43"/>
  <c r="K102" i="43"/>
  <c r="K105" i="43"/>
  <c r="K107" i="43"/>
  <c r="K104" i="43"/>
  <c r="K106" i="43"/>
  <c r="K109" i="43"/>
  <c r="H107" i="43"/>
  <c r="H106" i="43"/>
  <c r="H105" i="43"/>
  <c r="H103" i="43"/>
  <c r="H102" i="43"/>
  <c r="H104" i="43"/>
  <c r="H109" i="43"/>
  <c r="I109" i="43"/>
  <c r="I102" i="43"/>
  <c r="I106" i="43"/>
  <c r="I104" i="43"/>
  <c r="I103" i="43"/>
  <c r="I107"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6" i="43"/>
  <c r="E102" i="43"/>
  <c r="E103" i="43"/>
  <c r="M109" i="43"/>
  <c r="M104" i="43"/>
  <c r="M107" i="43"/>
  <c r="M105" i="43"/>
  <c r="M102" i="43"/>
  <c r="M103" i="43"/>
  <c r="M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8" i="43"/>
  <c r="V8" i="43" s="1"/>
  <c r="T16" i="43"/>
  <c r="V16" i="43" s="1"/>
  <c r="T15" i="43"/>
  <c r="V15" i="43" s="1"/>
  <c r="J10" i="40"/>
  <c r="W10" i="40" s="1"/>
  <c r="H10" i="39"/>
  <c r="AB10" i="39" s="1"/>
  <c r="F10" i="40"/>
  <c r="AA10" i="40" s="1"/>
  <c r="J10" i="39"/>
  <c r="W10" i="39" s="1"/>
  <c r="H10" i="40"/>
  <c r="AB10" i="40" s="1"/>
  <c r="J7" i="37"/>
  <c r="H7" i="36"/>
  <c r="H7" i="34"/>
  <c r="F7" i="34"/>
  <c r="S7" i="34" s="1"/>
  <c r="F59" i="67"/>
  <c r="G35" i="43"/>
  <c r="I35" i="43" s="1"/>
  <c r="D37" i="69"/>
  <c r="C37" i="69" s="1"/>
  <c r="C33" i="69" s="1"/>
  <c r="C39" i="69" s="1"/>
  <c r="G70" i="39"/>
  <c r="H68" i="39"/>
  <c r="H7" i="37"/>
  <c r="AB7" i="37" s="1"/>
  <c r="T42" i="37" s="1"/>
  <c r="G42" i="37" s="1"/>
  <c r="B40" i="1"/>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U10" i="39"/>
  <c r="AC10" i="40"/>
  <c r="F7" i="33"/>
  <c r="E58" i="21"/>
  <c r="AC7" i="36"/>
  <c r="V36" i="36" s="1"/>
  <c r="I36" i="36" s="1"/>
  <c r="W7" i="36"/>
  <c r="F7" i="37"/>
  <c r="W7" i="34"/>
  <c r="AC7" i="34"/>
  <c r="V49" i="34" s="1"/>
  <c r="I49" i="34" s="1"/>
  <c r="G37" i="43"/>
  <c r="I37" i="43" s="1"/>
  <c r="D10" i="71"/>
  <c r="C9" i="71"/>
  <c r="M17" i="67"/>
  <c r="M17" i="15"/>
  <c r="F59" i="15"/>
  <c r="P24" i="43"/>
  <c r="B66" i="40" s="1"/>
  <c r="P21" i="43"/>
  <c r="D37" i="68"/>
  <c r="C37" i="68" s="1"/>
  <c r="C20" i="69"/>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C27" i="79" l="1"/>
  <c r="L30" i="79"/>
  <c r="C26" i="79"/>
  <c r="B2" i="79" s="1"/>
  <c r="B3" i="79" s="1"/>
  <c r="C33" i="68"/>
  <c r="C39" i="68" s="1"/>
  <c r="C46" i="68" s="1"/>
  <c r="C45" i="68" s="1"/>
  <c r="C8" i="68"/>
  <c r="G36" i="43"/>
  <c r="I36" i="43" s="1"/>
  <c r="C19" i="15"/>
  <c r="C20" i="15" s="1"/>
  <c r="C26" i="15" s="1"/>
  <c r="C15" i="12"/>
  <c r="C16" i="12" s="1"/>
  <c r="C21" i="12" s="1"/>
  <c r="C22" i="12" s="1"/>
  <c r="C28" i="69"/>
  <c r="C27" i="69" s="1"/>
  <c r="AQ6" i="1"/>
  <c r="S16" i="1"/>
  <c r="T6" i="1"/>
  <c r="T16" i="1" s="1"/>
  <c r="AR6" i="1"/>
  <c r="I19" i="6"/>
  <c r="M27" i="6"/>
  <c r="R26" i="6"/>
  <c r="R21" i="6"/>
  <c r="M19" i="9"/>
  <c r="C118" i="9" s="1"/>
  <c r="C14" i="74" s="1"/>
  <c r="B2" i="74" s="1"/>
  <c r="D25" i="6"/>
  <c r="D15" i="6"/>
  <c r="D22" i="6"/>
  <c r="R22" i="6" s="1"/>
  <c r="D21" i="6"/>
  <c r="D24" i="6"/>
  <c r="D26" i="6"/>
  <c r="D8" i="6"/>
  <c r="D14" i="6"/>
  <c r="D6" i="6"/>
  <c r="D9" i="6"/>
  <c r="D10" i="6"/>
  <c r="L19" i="9"/>
  <c r="D29" i="6"/>
  <c r="D19" i="6"/>
  <c r="C18" i="4"/>
  <c r="D23" i="6"/>
  <c r="D20" i="6"/>
  <c r="D5" i="6"/>
  <c r="D12" i="6"/>
  <c r="D11" i="6"/>
  <c r="D13" i="6"/>
  <c r="D28" i="6"/>
  <c r="E61" i="40"/>
  <c r="H23" i="6"/>
  <c r="H20" i="6"/>
  <c r="R20" i="6" s="1"/>
  <c r="H25" i="6"/>
  <c r="H24" i="6"/>
  <c r="R24" i="6" s="1"/>
  <c r="C33" i="11"/>
  <c r="C39" i="11" s="1"/>
  <c r="C46" i="11" s="1"/>
  <c r="C45" i="11" s="1"/>
  <c r="F45" i="69"/>
  <c r="C47" i="69"/>
  <c r="D45" i="69" s="1"/>
  <c r="C29" i="69"/>
  <c r="D27" i="69" s="1"/>
  <c r="C47" i="11"/>
  <c r="D45" i="11" s="1"/>
  <c r="C29" i="11"/>
  <c r="D27" i="11" s="1"/>
  <c r="C28" i="11"/>
  <c r="C27" i="11" s="1"/>
  <c r="F45" i="68"/>
  <c r="C29" i="68"/>
  <c r="D27" i="68" s="1"/>
  <c r="C47" i="68"/>
  <c r="D45" i="68" s="1"/>
  <c r="F50" i="69"/>
  <c r="F50" i="11"/>
  <c r="F50" i="68"/>
  <c r="S7" i="43"/>
  <c r="T7" i="43" s="1"/>
  <c r="V7" i="43" s="1"/>
  <c r="C23" i="43"/>
  <c r="C21" i="43" s="1"/>
  <c r="C29" i="43" s="1"/>
  <c r="S4" i="43"/>
  <c r="T4" i="43" s="1"/>
  <c r="V4" i="43" s="1"/>
  <c r="S5" i="43"/>
  <c r="T5" i="43" s="1"/>
  <c r="V5" i="43" s="1"/>
  <c r="S3" i="43"/>
  <c r="T3" i="43" s="1"/>
  <c r="V3" i="43" s="1"/>
  <c r="S2" i="43"/>
  <c r="T2" i="43" s="1"/>
  <c r="V2" i="43" s="1"/>
  <c r="S6" i="43"/>
  <c r="T6" i="43" s="1"/>
  <c r="V6" i="43" s="1"/>
  <c r="C115" i="43"/>
  <c r="D113" i="43"/>
  <c r="S10" i="40"/>
  <c r="AC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46" i="69"/>
  <c r="C45" i="69" s="1"/>
  <c r="F41" i="15"/>
  <c r="F69" i="15" l="1"/>
  <c r="J29" i="15"/>
  <c r="S19" i="6"/>
  <c r="S27" i="6" s="1"/>
  <c r="H19" i="6"/>
  <c r="I27" i="6"/>
  <c r="C30" i="12"/>
  <c r="C28" i="12" s="1"/>
  <c r="R25" i="6"/>
  <c r="D30" i="6"/>
  <c r="R23" i="6"/>
  <c r="D27" i="6"/>
  <c r="D31" i="6" s="1"/>
  <c r="D8" i="74"/>
  <c r="D7" i="74"/>
  <c r="A7" i="51"/>
  <c r="B7" i="72" s="1"/>
  <c r="C4" i="52"/>
  <c r="B45" i="72" s="1"/>
  <c r="A10" i="51"/>
  <c r="B9" i="72" s="1"/>
  <c r="D16" i="6"/>
  <c r="C30" i="43"/>
  <c r="E30" i="43" s="1"/>
  <c r="C27" i="43" s="1"/>
  <c r="E29" i="43"/>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43" i="68"/>
  <c r="C60" i="15"/>
  <c r="C66" i="15"/>
  <c r="C23" i="15"/>
  <c r="C29" i="15" s="1"/>
  <c r="C26" i="69"/>
  <c r="D22" i="69" s="1"/>
  <c r="C44" i="69"/>
  <c r="D41" i="69" s="1"/>
  <c r="C23" i="69"/>
  <c r="C24" i="69"/>
  <c r="C25" i="69"/>
  <c r="C42" i="69"/>
  <c r="C44" i="68"/>
  <c r="D41" i="68" s="1"/>
  <c r="C26" i="68"/>
  <c r="D22" i="68" s="1"/>
  <c r="C42" i="68"/>
  <c r="C24" i="68"/>
  <c r="C26" i="12"/>
  <c r="D25" i="12" s="1"/>
  <c r="C27" i="12"/>
  <c r="C25" i="12" s="1"/>
  <c r="C44" i="11"/>
  <c r="D41" i="11" s="1"/>
  <c r="C23" i="11"/>
  <c r="C24" i="11"/>
  <c r="C43" i="11"/>
  <c r="C25" i="11"/>
  <c r="C26" i="11"/>
  <c r="D22" i="11" s="1"/>
  <c r="C42" i="11"/>
  <c r="C43" i="69"/>
  <c r="C38" i="67"/>
  <c r="C38" i="15"/>
  <c r="C66" i="67"/>
  <c r="C60" i="67"/>
  <c r="C23" i="67"/>
  <c r="C29" i="67" s="1"/>
  <c r="C26" i="43" l="1"/>
  <c r="L30" i="43"/>
  <c r="R19" i="6"/>
  <c r="H27" i="6"/>
  <c r="I6" i="6"/>
  <c r="I5" i="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C51" i="68" s="1"/>
  <c r="C32" i="12"/>
  <c r="B2" i="12" s="1"/>
  <c r="B3" i="12" s="1"/>
  <c r="J14" i="15"/>
  <c r="C57" i="15"/>
  <c r="C61" i="15" s="1"/>
  <c r="C36" i="15"/>
  <c r="C33" i="15"/>
  <c r="C13" i="15"/>
  <c r="Q49" i="15"/>
  <c r="J19" i="15"/>
  <c r="J59" i="15"/>
  <c r="J60" i="15" s="1"/>
  <c r="C41" i="11"/>
  <c r="C49" i="11" s="1"/>
  <c r="C51" i="11" s="1"/>
  <c r="C22" i="69"/>
  <c r="C31" i="69" s="1"/>
  <c r="C22" i="11"/>
  <c r="C31" i="11" s="1"/>
  <c r="C41" i="69"/>
  <c r="C49" i="69" s="1"/>
  <c r="C51" i="69" s="1"/>
  <c r="C36" i="67"/>
  <c r="C33" i="67"/>
  <c r="C31" i="67" s="1"/>
  <c r="J14" i="67"/>
  <c r="C13" i="67"/>
  <c r="J19" i="67"/>
  <c r="J17" i="67" s="1"/>
  <c r="C57" i="67"/>
  <c r="C61" i="67" s="1"/>
  <c r="Q49" i="67"/>
  <c r="J59" i="67"/>
  <c r="J60" i="67" s="1"/>
  <c r="E6" i="76"/>
  <c r="E2" i="76" l="1"/>
  <c r="B2" i="43"/>
  <c r="R6" i="1"/>
  <c r="R27" i="6"/>
  <c r="D5"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52" i="69"/>
  <c r="B2" i="69" s="1"/>
  <c r="B3" i="69" s="1"/>
  <c r="C64" i="15"/>
  <c r="Q48" i="67"/>
  <c r="L46" i="67"/>
  <c r="C56" i="67"/>
  <c r="C65" i="67" s="1"/>
  <c r="C75" i="67"/>
  <c r="Q70" i="67"/>
  <c r="C37" i="67"/>
  <c r="C30" i="67" s="1"/>
  <c r="C39" i="67" s="1"/>
  <c r="C56" i="15"/>
  <c r="C65" i="15" s="1"/>
  <c r="Q70" i="15"/>
  <c r="C37" i="15"/>
  <c r="C75" i="15"/>
  <c r="J22" i="15"/>
  <c r="J13" i="15"/>
  <c r="J23" i="15" s="1"/>
  <c r="M21" i="15"/>
  <c r="F35" i="15"/>
  <c r="L51" i="67"/>
  <c r="B6" i="76"/>
  <c r="B2" i="76" l="1"/>
  <c r="B3" i="43"/>
  <c r="J20" i="15"/>
  <c r="J17" i="15" s="1"/>
  <c r="J16" i="15" s="1"/>
  <c r="J25" i="15" s="1"/>
  <c r="C34" i="15"/>
  <c r="C31" i="15" s="1"/>
  <c r="C30" i="15" s="1"/>
  <c r="C39" i="15" s="1"/>
  <c r="C80" i="15" s="1"/>
  <c r="C79" i="15" s="1"/>
  <c r="F63" i="15"/>
  <c r="C62" i="15" s="1"/>
  <c r="C59" i="15" s="1"/>
  <c r="C58" i="15" s="1"/>
  <c r="C67" i="15" s="1"/>
  <c r="C68" i="15" s="1"/>
  <c r="C71" i="15" s="1"/>
  <c r="R16" i="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57" i="69"/>
  <c r="C56" i="69" s="1"/>
  <c r="L51" i="15"/>
  <c r="B3" i="76" l="1"/>
  <c r="C6" i="68"/>
  <c r="C7" i="68" s="1"/>
  <c r="C5" i="68" s="1"/>
  <c r="Q69" i="15"/>
  <c r="Q68" i="15" s="1"/>
  <c r="C40" i="15"/>
  <c r="Q56" i="15" s="1"/>
  <c r="J7" i="35"/>
  <c r="AC7" i="35" s="1"/>
  <c r="V38" i="35" s="1"/>
  <c r="I38" i="35" s="1"/>
  <c r="M70" i="39"/>
  <c r="N68" i="39"/>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C20" i="68" l="1"/>
  <c r="C23" i="68"/>
  <c r="Q65" i="15"/>
  <c r="C46" i="15"/>
  <c r="Q47" i="15"/>
  <c r="Q53" i="15" s="1"/>
  <c r="B2" i="15"/>
  <c r="C83" i="15"/>
  <c r="C82" i="15" s="1"/>
  <c r="C43" i="15"/>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AO6" i="1"/>
  <c r="C28" i="68" l="1"/>
  <c r="C27" i="68" s="1"/>
  <c r="C25" i="68"/>
  <c r="C22" i="68"/>
  <c r="B3" i="15"/>
  <c r="D102" i="9"/>
  <c r="D21" i="9"/>
  <c r="B6" i="70"/>
  <c r="B2" i="70" s="1"/>
  <c r="B3" i="70" s="1"/>
  <c r="H7" i="39"/>
  <c r="J7" i="39"/>
  <c r="AA7" i="39"/>
  <c r="R47" i="39" s="1"/>
  <c r="S7" i="39"/>
  <c r="R39" i="35"/>
  <c r="E38" i="35"/>
  <c r="M63" i="40"/>
  <c r="L65" i="40"/>
  <c r="D35" i="9"/>
  <c r="D34" i="9"/>
  <c r="D20" i="9"/>
  <c r="C31" i="68" l="1"/>
  <c r="C52" i="68" s="1"/>
  <c r="B2" i="68" s="1"/>
  <c r="D103" i="9"/>
  <c r="E47" i="39"/>
  <c r="R48" i="39"/>
  <c r="W7" i="39"/>
  <c r="AC7" i="39"/>
  <c r="V47" i="39" s="1"/>
  <c r="I47" i="39" s="1"/>
  <c r="U7" i="39"/>
  <c r="AB7" i="39"/>
  <c r="T47" i="39" s="1"/>
  <c r="G47" i="39" s="1"/>
  <c r="C39" i="35"/>
  <c r="B2" i="35" s="1"/>
  <c r="B3" i="35" s="1"/>
  <c r="C38" i="35"/>
  <c r="N63" i="40"/>
  <c r="M65" i="40"/>
  <c r="E43" i="35"/>
  <c r="F43" i="35" s="1"/>
  <c r="E42" i="35"/>
  <c r="F42" i="35" s="1"/>
  <c r="I43" i="35"/>
  <c r="J43" i="35" s="1"/>
  <c r="C19" i="9"/>
  <c r="B3" i="68"/>
  <c r="C57" i="68" l="1"/>
  <c r="C56" i="68" s="1"/>
  <c r="C102" i="9"/>
  <c r="C21" i="9"/>
  <c r="G19" i="9"/>
  <c r="D27" i="9" s="1"/>
  <c r="D22" i="9"/>
  <c r="E52" i="39"/>
  <c r="F52" i="39" s="1"/>
  <c r="E51" i="39"/>
  <c r="F51" i="39" s="1"/>
  <c r="G51" i="39"/>
  <c r="H51" i="39" s="1"/>
  <c r="G52" i="39"/>
  <c r="H52" i="39" s="1"/>
  <c r="I51" i="39"/>
  <c r="J51" i="39" s="1"/>
  <c r="I52" i="39"/>
  <c r="J52" i="39" s="1"/>
  <c r="C48" i="39"/>
  <c r="C47" i="39"/>
  <c r="O63" i="40"/>
  <c r="O65" i="40" s="1"/>
  <c r="N65" i="40"/>
  <c r="C20" i="9"/>
  <c r="C103" i="9" l="1"/>
  <c r="G20" i="9"/>
  <c r="G21" i="9"/>
  <c r="C32" i="9"/>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D119" i="9" l="1"/>
  <c r="D5" i="52" s="1"/>
  <c r="B49" i="72" s="1"/>
  <c r="F119" i="9"/>
  <c r="F5" i="52" s="1"/>
  <c r="B53" i="72" s="1"/>
  <c r="G118" i="9"/>
  <c r="G4" i="52" s="1"/>
  <c r="B52" i="72" s="1"/>
  <c r="H101" i="9"/>
  <c r="I118" i="9"/>
  <c r="C104" i="9"/>
  <c r="H119" i="9"/>
  <c r="H5" i="52" s="1"/>
  <c r="D14" i="74"/>
  <c r="C105" i="9" l="1"/>
  <c r="E118" i="9"/>
  <c r="E4" i="52" s="1"/>
  <c r="B48" i="72" s="1"/>
  <c r="I4" i="52"/>
  <c r="H102" i="9"/>
  <c r="D7" i="53" s="1"/>
  <c r="B21" i="72" s="1"/>
  <c r="E14" i="74"/>
  <c r="F14" i="74"/>
  <c r="B5" i="74"/>
  <c r="D5" i="53"/>
  <c r="D45" i="9"/>
  <c r="M48" i="9"/>
  <c r="H107" i="9"/>
  <c r="B20" i="72" l="1"/>
  <c r="D6" i="53"/>
  <c r="B22" i="72" s="1"/>
  <c r="D13" i="53"/>
  <c r="H108" i="9"/>
  <c r="D15" i="53" s="1"/>
  <c r="B31" i="72" s="1"/>
  <c r="D122" i="9"/>
  <c r="M49" i="9"/>
  <c r="D53" i="9"/>
  <c r="C93" i="9"/>
  <c r="C86" i="9" s="1"/>
  <c r="C78" i="9"/>
  <c r="C73" i="9" s="1"/>
  <c r="C85" i="9"/>
  <c r="C72" i="9"/>
  <c r="D52" i="9"/>
  <c r="C64" i="9"/>
  <c r="C63" i="9" s="1"/>
  <c r="C67" i="9" s="1"/>
  <c r="D55" i="9"/>
  <c r="M53" i="9" s="1"/>
  <c r="C5" i="74"/>
  <c r="D5" i="74"/>
  <c r="C79" i="9" l="1"/>
  <c r="C95" i="9"/>
  <c r="C96" i="9" s="1"/>
  <c r="L66" i="9"/>
  <c r="M66" i="9" s="1"/>
  <c r="L64" i="9"/>
  <c r="M64" i="9" s="1"/>
  <c r="L65" i="9"/>
  <c r="M65" i="9" s="1"/>
  <c r="L67" i="9"/>
  <c r="M67" i="9" s="1"/>
  <c r="L63" i="9"/>
  <c r="M63" i="9" s="1"/>
  <c r="L68" i="9"/>
  <c r="M68" i="9" s="1"/>
  <c r="D59" i="9"/>
  <c r="M55" i="9" s="1"/>
  <c r="C68" i="9"/>
  <c r="D54" i="9" s="1"/>
  <c r="C80" i="9"/>
  <c r="E80" i="9" s="1"/>
  <c r="E81" i="9" s="1"/>
  <c r="D8" i="52"/>
  <c r="G14" i="74"/>
  <c r="B6" i="74" s="1"/>
  <c r="D123" i="9"/>
  <c r="D9" i="52" s="1"/>
  <c r="D14" i="53"/>
  <c r="B32" i="72" s="1"/>
  <c r="B30" i="72"/>
  <c r="E96" i="9" l="1"/>
  <c r="E97" i="9" s="1"/>
  <c r="C97" i="9"/>
  <c r="D58" i="9" s="1"/>
  <c r="D56" i="9" s="1"/>
  <c r="M54" i="9" s="1"/>
  <c r="N57" i="9" s="1"/>
  <c r="N58" i="9" s="1"/>
  <c r="C81" i="9"/>
  <c r="M69" i="9"/>
  <c r="N69" i="9" s="1"/>
  <c r="C6" i="74"/>
  <c r="D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<sst xmlns="http://schemas.openxmlformats.org/spreadsheetml/2006/main" count="7711" uniqueCount="3138">
  <si>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</si>
  <si>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</si>
  <si>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</si>
  <si>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</si>
  <si>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</si>
  <si>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</si>
  <si>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</si>
  <si>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</si>
  <si>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</si>
  <si>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</si>
  <si>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</si>
  <si>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</si>
  <si>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</si>
  <si>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</si>
  <si>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</si>
  <si>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</si>
  <si>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</si>
  <si>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</si>
  <si>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</si>
  <si>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</si>
  <si>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</si>
  <si>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</si>
  <si>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</si>
  <si>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</si>
  <si>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</si>
  <si>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</si>
  <si>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</si>
  <si>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</si>
  <si>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</si>
  <si>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</si>
  <si>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</si>
  <si>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</si>
  <si>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</si>
  <si>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</si>
  <si>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</si>
  <si>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</si>
  <si>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</si>
  <si>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</si>
  <si>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</si>
  <si>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</si>
  <si>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</si>
  <si>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</si>
  <si>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</si>
  <si>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</si>
  <si>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</si>
  <si>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</si>
  <si>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</si>
  <si>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</si>
  <si>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</si>
  <si>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</si>
  <si>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</si>
  <si>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</si>
  <si>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</si>
  <si>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</si>
  <si>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</si>
  <si>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</si>
  <si>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</si>
  <si>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</si>
  <si>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</si>
  <si>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</si>
  <si>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</si>
  <si>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</si>
  <si>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</si>
  <si>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</si>
  <si>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</si>
  <si>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</si>
  <si>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</si>
  <si>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</si>
  <si>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</si>
  <si>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</si>
  <si>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</si>
  <si>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</si>
  <si>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</si>
  <si>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</si>
  <si>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</si>
  <si>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</si>
  <si>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</si>
  <si>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</si>
  <si>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</si>
  <si>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</si>
  <si>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</si>
  <si>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</si>
  <si>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</si>
  <si>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</si>
  <si>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</si>
  <si>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</si>
  <si>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</si>
  <si>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</si>
  <si>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</si>
  <si>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</si>
  <si>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</si>
  <si>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</si>
  <si>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</si>
  <si>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</si>
  <si>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</si>
  <si>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</si>
  <si>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</si>
  <si>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</si>
  <si>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</si>
  <si>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</si>
  <si>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</si>
  <si>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</si>
  <si>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</si>
  <si>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</si>
  <si>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</si>
  <si>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</si>
  <si>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</si>
  <si>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</si>
  <si>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</si>
  <si>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</si>
  <si>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</si>
  <si>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</si>
  <si>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</si>
  <si>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</si>
  <si>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</si>
  <si>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</si>
  <si>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</si>
  <si>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</si>
  <si>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</si>
  <si>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</si>
  <si>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</si>
  <si>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</si>
  <si>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</si>
  <si>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</si>
  <si>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</si>
  <si>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</si>
  <si>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</si>
  <si>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</si>
  <si>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</si>
  <si>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</si>
  <si>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</si>
  <si>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</si>
  <si>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</si>
  <si>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</si>
  <si>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</si>
  <si>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</si>
  <si>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</si>
  <si>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</si>
  <si>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</si>
  <si>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</si>
  <si>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</si>
  <si>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</si>
  <si>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</si>
  <si>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</si>
  <si>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</si>
  <si>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</si>
  <si>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</si>
  <si>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</si>
  <si>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</si>
  <si>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</si>
  <si>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</si>
  <si>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</si>
  <si>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</si>
  <si>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</si>
  <si>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</si>
  <si>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</si>
  <si>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</si>
  <si>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</si>
  <si>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</si>
  <si>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</si>
  <si>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</si>
  <si>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</si>
  <si>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</si>
  <si>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</si>
  <si>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</si>
  <si>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</si>
  <si>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</si>
  <si>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</si>
  <si>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</si>
  <si>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</si>
  <si>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</si>
  <si>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</si>
  <si>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</si>
  <si>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</si>
  <si>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</si>
  <si>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</si>
  <si>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</si>
  <si>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</si>
  <si>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</si>
  <si>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</si>
  <si>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</si>
  <si>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</si>
  <si>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</si>
  <si>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</si>
  <si>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</si>
  <si>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</si>
  <si>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</si>
  <si>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</si>
  <si>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</si>
  <si>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</si>
  <si>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</si>
  <si>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</si>
  <si>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</si>
  <si>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</si>
  <si>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</si>
  <si>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</si>
  <si>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</si>
  <si>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</si>
  <si>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</si>
  <si>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</si>
  <si>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</si>
  <si>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</si>
  <si>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</si>
  <si>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</si>
  <si>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</si>
  <si>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</si>
  <si>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</si>
  <si>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</si>
  <si>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</si>
  <si>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</si>
  <si>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</si>
  <si>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</si>
  <si>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</si>
  <si>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</si>
  <si>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</si>
  <si>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</si>
  <si>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</si>
  <si>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</si>
  <si>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</si>
  <si>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</si>
  <si>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</si>
  <si>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</si>
  <si>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</si>
  <si>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</si>
  <si>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</si>
  <si>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</si>
  <si>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</si>
  <si>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</si>
  <si>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</si>
  <si>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</si>
  <si>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</si>
  <si>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</si>
  <si>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</si>
  <si>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</si>
  <si>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</si>
  <si>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</si>
  <si>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</si>
  <si>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</si>
  <si>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</si>
  <si>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</si>
  <si>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</si>
  <si>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</si>
  <si>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</si>
  <si>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</si>
  <si>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</si>
  <si>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</si>
  <si>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</si>
  <si>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</si>
  <si>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</si>
  <si>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</si>
  <si>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</si>
  <si>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</si>
  <si>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</si>
  <si>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</si>
  <si>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</si>
  <si>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</si>
  <si>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</si>
  <si>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</si>
  <si>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</si>
  <si>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</si>
  <si>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</si>
  <si>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</si>
  <si>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</si>
  <si>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</si>
  <si>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</si>
  <si>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</si>
  <si>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</si>
  <si>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</si>
  <si>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</si>
  <si>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</si>
  <si>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</si>
  <si>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</si>
  <si>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</si>
  <si>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</si>
  <si>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</si>
  <si>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</si>
  <si>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</si>
  <si>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</si>
  <si>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</si>
  <si>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</si>
  <si>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</si>
  <si>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</si>
  <si>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</si>
  <si>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</si>
  <si>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</si>
  <si>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</si>
  <si>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</si>
  <si>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</si>
  <si>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</si>
  <si>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</si>
  <si>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</si>
  <si>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</si>
  <si>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</si>
  <si>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</si>
  <si>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</si>
  <si>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</si>
  <si>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</si>
  <si>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</si>
  <si>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</si>
  <si>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</si>
  <si>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</si>
  <si>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</si>
  <si>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</si>
  <si>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</si>
  <si>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</si>
  <si>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</si>
  <si>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</si>
  <si>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</si>
  <si>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</si>
  <si>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</si>
  <si>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</si>
  <si>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</si>
  <si>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</si>
  <si>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</si>
  <si>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</si>
  <si>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</si>
  <si>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</si>
  <si>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</si>
  <si>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</si>
  <si>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</si>
  <si>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</si>
  <si>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</si>
  <si>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</si>
  <si>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</si>
  <si>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</si>
  <si>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</si>
  <si>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</si>
  <si>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</si>
  <si>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</si>
  <si>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</si>
  <si>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</si>
  <si>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</si>
  <si>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</si>
  <si>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</si>
  <si>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</si>
  <si>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</si>
  <si>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</si>
  <si>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</si>
  <si>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</si>
  <si>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</si>
  <si>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</si>
  <si>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</si>
  <si>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</si>
  <si>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</si>
  <si>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</si>
  <si>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</si>
  <si>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</si>
  <si>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</si>
  <si>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</si>
  <si>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</si>
  <si>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</si>
  <si>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</si>
  <si>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</si>
  <si>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</si>
  <si>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</si>
  <si>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</si>
  <si>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</si>
  <si>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</si>
  <si>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</si>
  <si>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</si>
  <si>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</si>
  <si>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</si>
  <si>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</si>
  <si>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</si>
  <si>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</si>
  <si>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</si>
  <si>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</si>
  <si>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</si>
  <si>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</si>
  <si>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</si>
  <si>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</si>
  <si>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</si>
  <si>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</si>
  <si>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</si>
  <si>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</si>
  <si>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</si>
  <si>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</si>
  <si>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</si>
  <si>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</si>
  <si>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</si>
  <si>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</si>
  <si>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</si>
  <si>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</si>
  <si>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</si>
  <si>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</si>
  <si>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</si>
  <si>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</si>
  <si>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</si>
  <si>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</si>
  <si>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</si>
  <si>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</si>
  <si>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</si>
  <si>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</si>
  <si>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</si>
  <si>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</si>
  <si>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</si>
  <si>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</si>
  <si>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</si>
  <si>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</si>
  <si>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</si>
  <si>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</si>
  <si>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</si>
  <si>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</si>
  <si>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</si>
  <si>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</si>
  <si>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</si>
  <si>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</si>
  <si>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</si>
  <si>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</si>
  <si>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</si>
  <si>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</si>
  <si>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</si>
  <si>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</si>
  <si>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</si>
  <si>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</si>
  <si>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</si>
  <si>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</si>
  <si>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</si>
  <si>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</si>
  <si>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</si>
  <si>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</si>
  <si>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</si>
  <si>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</si>
  <si>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</si>
  <si>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</si>
  <si>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</si>
  <si>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</si>
  <si>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</si>
  <si>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</si>
  <si>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</si>
  <si>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</si>
  <si>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</si>
  <si>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</si>
  <si>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</si>
  <si>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</si>
  <si>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</si>
  <si>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</si>
  <si>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</si>
  <si>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</si>
  <si>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</si>
  <si>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</si>
  <si>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</si>
  <si>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</si>
  <si>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</si>
  <si>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</si>
  <si>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</si>
  <si>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</si>
  <si>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</si>
  <si>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</si>
  <si>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</si>
  <si>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</si>
  <si>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</si>
  <si>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</si>
  <si>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</si>
  <si>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</si>
  <si>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</si>
  <si>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</si>
  <si>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</si>
  <si>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</si>
  <si>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</si>
  <si>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</si>
  <si>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</si>
  <si>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</si>
  <si>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</si>
  <si>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</si>
  <si>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</si>
  <si>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</si>
  <si>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</si>
  <si>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</si>
  <si>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</si>
  <si>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</si>
  <si>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</si>
  <si>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</si>
  <si>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</si>
  <si>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</si>
  <si>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</si>
  <si>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</si>
  <si>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</si>
  <si>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</si>
  <si>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</si>
  <si>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</si>
  <si>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</si>
  <si>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</si>
  <si>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</si>
  <si>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</si>
  <si>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</si>
  <si>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</si>
  <si>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</si>
  <si>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</si>
  <si>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</si>
  <si>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</si>
  <si>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</si>
  <si>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</si>
  <si>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</si>
  <si>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</si>
  <si>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</si>
  <si>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</si>
  <si>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</si>
  <si>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</si>
  <si>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</si>
  <si>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</si>
  <si>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</si>
  <si>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</si>
  <si>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</si>
  <si>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</si>
  <si>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</si>
  <si>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</si>
  <si>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</si>
  <si>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</si>
  <si>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</si>
  <si>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</si>
  <si>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</si>
  <si>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</si>
  <si>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</si>
  <si>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</si>
  <si>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</si>
  <si>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</si>
  <si>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</si>
  <si>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</si>
  <si>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</si>
  <si>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</si>
  <si>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</si>
  <si>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</si>
  <si>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</si>
  <si>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</si>
  <si>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</si>
  <si>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</si>
  <si>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</si>
  <si>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</si>
  <si>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</si>
  <si>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</si>
  <si>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</si>
  <si>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</si>
  <si>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</si>
  <si>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</si>
  <si>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</si>
  <si>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</si>
  <si>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</si>
  <si>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</si>
  <si>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</si>
  <si>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</si>
  <si>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</si>
  <si>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</si>
  <si>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</si>
  <si>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</si>
  <si>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</si>
  <si>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</si>
  <si>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</si>
  <si>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</si>
  <si>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</si>
  <si>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</si>
  <si>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</si>
  <si>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</si>
  <si>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</si>
  <si>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</si>
  <si>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</si>
  <si>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</si>
  <si>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</si>
  <si>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</si>
  <si>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</si>
  <si>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</si>
  <si>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</si>
  <si>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</si>
  <si>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</si>
  <si>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</si>
  <si>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</si>
  <si>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</si>
  <si>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</si>
  <si>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</si>
  <si>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</si>
  <si>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</si>
  <si>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</si>
  <si>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</si>
  <si>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</si>
  <si>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</si>
  <si>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</si>
  <si>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</si>
  <si>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</si>
  <si>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</si>
  <si>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</si>
  <si>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</si>
  <si>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</si>
  <si>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</si>
  <si>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</si>
  <si>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</si>
  <si>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</si>
  <si>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</si>
  <si>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</si>
  <si>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</si>
  <si>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</si>
  <si>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</si>
  <si>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</si>
  <si>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</si>
  <si>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</si>
  <si>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</si>
  <si>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</si>
  <si>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</si>
  <si>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</si>
  <si>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</si>
  <si>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</si>
  <si>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</si>
  <si>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</si>
  <si>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</si>
  <si>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</si>
  <si>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</si>
  <si>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</si>
  <si>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</si>
  <si>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</si>
  <si>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</si>
  <si>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</si>
  <si>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</si>
  <si>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</si>
  <si>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</si>
  <si>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</si>
  <si>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</si>
  <si>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</si>
  <si>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</si>
  <si>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</si>
  <si>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</si>
  <si>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</si>
  <si>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</si>
  <si>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</si>
  <si>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</si>
  <si>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</si>
  <si>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</si>
  <si>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</si>
  <si>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</si>
  <si>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</si>
  <si>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</si>
  <si>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</si>
  <si>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</si>
  <si>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</si>
  <si>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</si>
  <si>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</si>
  <si>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</si>
  <si>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</si>
  <si>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</si>
  <si>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</si>
  <si>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</si>
  <si>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</si>
  <si>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</si>
  <si>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</si>
  <si>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</si>
  <si>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</si>
  <si>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</si>
  <si>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</si>
  <si>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</si>
  <si>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</si>
  <si>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</si>
  <si>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</si>
  <si>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</si>
  <si>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</si>
  <si>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</si>
  <si>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</si>
  <si>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</si>
  <si>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</si>
  <si>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</si>
  <si>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</si>
  <si>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</si>
  <si>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</si>
  <si>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</si>
  <si>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</si>
  <si>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</si>
  <si>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</si>
  <si>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</si>
  <si>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</si>
  <si>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</si>
  <si>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</si>
  <si>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</si>
  <si>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</si>
  <si>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</si>
  <si>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</si>
  <si>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</si>
  <si>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</si>
  <si>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</si>
  <si>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</si>
  <si>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</si>
  <si>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</si>
  <si>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</si>
  <si>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</si>
  <si>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</si>
  <si>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</si>
  <si>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</si>
  <si>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</si>
  <si>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</si>
  <si>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</si>
  <si>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</si>
  <si>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</si>
  <si>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</si>
  <si>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</si>
  <si>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</si>
  <si>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</si>
  <si>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</si>
  <si>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</si>
  <si>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</si>
  <si>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</si>
  <si>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</si>
  <si>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</si>
  <si>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</si>
  <si>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</si>
  <si>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</si>
  <si>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</si>
  <si>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</si>
  <si>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</si>
  <si>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</si>
  <si>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</si>
  <si>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</si>
  <si>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</si>
  <si>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</si>
  <si>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</si>
  <si>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</si>
  <si>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</si>
  <si>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</si>
  <si>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</si>
  <si>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</si>
  <si>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</si>
  <si>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</si>
  <si>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</si>
  <si>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</si>
  <si>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</si>
  <si>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</si>
  <si>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</si>
  <si>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</si>
  <si>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</si>
  <si>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</si>
  <si>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</si>
  <si>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</si>
  <si>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</si>
  <si>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</si>
  <si>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</si>
  <si>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</si>
  <si>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</si>
  <si>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</si>
  <si>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</si>
  <si>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</si>
  <si>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</si>
  <si>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</si>
  <si>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</si>
  <si>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</si>
  <si>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</si>
  <si>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</si>
  <si>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</si>
  <si>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</si>
  <si>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</si>
  <si>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</si>
  <si>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</si>
  <si>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</si>
  <si>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</si>
  <si>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</si>
  <si>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</si>
  <si>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</si>
  <si>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</si>
  <si>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</si>
  <si>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</si>
  <si>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</si>
  <si>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</si>
  <si>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</si>
  <si>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</si>
  <si>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</si>
  <si>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</si>
  <si>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</si>
  <si>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</si>
  <si>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</si>
  <si>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</si>
  <si>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</si>
  <si>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</si>
  <si>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</si>
  <si>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</si>
  <si>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</si>
  <si>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</si>
  <si>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</si>
  <si>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</si>
  <si>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</si>
  <si>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</si>
  <si>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</si>
  <si>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</si>
  <si>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</si>
  <si>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</si>
  <si>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</si>
  <si>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</si>
  <si>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</si>
  <si>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</si>
  <si>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</si>
  <si>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</si>
  <si>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</si>
  <si>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</si>
  <si>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</si>
  <si>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</si>
  <si>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</si>
  <si>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</si>
  <si>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</si>
  <si>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</si>
  <si>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</si>
  <si>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</si>
  <si>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</si>
  <si>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</si>
  <si>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</si>
  <si>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</si>
  <si>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</si>
  <si>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</si>
  <si>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</si>
  <si>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</si>
  <si>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</si>
  <si>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</si>
  <si>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</si>
  <si>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</si>
  <si>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</si>
  <si>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</si>
  <si>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</si>
  <si>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</si>
  <si>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</si>
  <si>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</si>
  <si>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</si>
  <si>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</si>
  <si>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</si>
  <si>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</si>
  <si>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</si>
  <si>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</si>
  <si>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</si>
  <si>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</si>
  <si>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</si>
  <si>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</si>
  <si>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</si>
  <si>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</si>
  <si>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</si>
  <si>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</si>
  <si>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</si>
  <si>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</si>
  <si>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</si>
  <si>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</si>
  <si>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</si>
  <si>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</si>
  <si>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</si>
  <si>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</si>
  <si>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</si>
  <si>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</si>
  <si>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</si>
  <si>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</si>
  <si>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</si>
  <si>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</si>
  <si>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</si>
  <si>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</si>
  <si>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</si>
  <si>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</si>
  <si>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</si>
  <si>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</si>
  <si>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</si>
  <si>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</si>
  <si>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</si>
  <si>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</si>
  <si>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</si>
  <si>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</si>
  <si>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</si>
  <si>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</si>
  <si>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</si>
  <si>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</si>
  <si>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</si>
  <si>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</si>
  <si>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</si>
  <si>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</si>
  <si>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</si>
  <si>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</si>
  <si>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</si>
  <si>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</si>
  <si>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</si>
  <si>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</si>
  <si>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</si>
  <si>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</si>
  <si>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</si>
  <si>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</si>
  <si>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</si>
  <si>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</si>
  <si>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</si>
  <si>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</si>
  <si>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</si>
  <si>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</si>
  <si>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</si>
  <si>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</si>
  <si>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</si>
  <si>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</si>
  <si>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</si>
  <si>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</si>
  <si>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</si>
  <si>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</si>
  <si>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</si>
  <si>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</si>
  <si>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</si>
  <si>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</si>
  <si>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</si>
  <si>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</si>
  <si>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</si>
  <si>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</si>
  <si>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</si>
  <si>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</si>
  <si>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</si>
  <si>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</si>
  <si>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</si>
  <si>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</si>
  <si>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</si>
  <si>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</si>
  <si>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</si>
  <si>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</si>
  <si>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</si>
  <si>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</si>
  <si>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</si>
  <si>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</si>
  <si>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</si>
  <si>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</si>
  <si>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</si>
  <si>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</si>
  <si>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</si>
  <si>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</si>
  <si>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</si>
  <si>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</si>
  <si>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</si>
  <si>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</si>
  <si>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</si>
  <si>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</si>
  <si>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</si>
  <si>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</si>
  <si>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</si>
  <si>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</si>
  <si>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</si>
  <si>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</si>
  <si>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</si>
  <si>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</si>
  <si>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</si>
  <si>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</si>
  <si>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</si>
  <si>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</si>
  <si>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</si>
  <si>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</si>
  <si>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</si>
  <si>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</si>
  <si>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</si>
  <si>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</si>
  <si>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</si>
  <si>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</si>
  <si>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</si>
  <si>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</si>
  <si>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</si>
  <si>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</si>
  <si>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</si>
  <si>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</si>
  <si>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</si>
  <si>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</si>
  <si>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</si>
  <si>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</si>
  <si>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</si>
  <si>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</si>
  <si>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</si>
  <si>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</si>
  <si>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</si>
  <si>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</si>
  <si>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</si>
  <si>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</si>
  <si>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</si>
  <si>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</si>
  <si>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</si>
  <si>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</si>
  <si>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</si>
  <si>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</si>
  <si>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</si>
  <si>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</si>
  <si>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</si>
  <si>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</si>
  <si>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</si>
  <si>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</si>
  <si>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</si>
  <si>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</si>
  <si>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</si>
  <si>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</si>
  <si>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</si>
  <si>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</si>
  <si>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</si>
  <si>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</si>
  <si>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</si>
  <si>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</si>
  <si>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</si>
  <si>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</si>
  <si>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</si>
  <si>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</si>
  <si>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</si>
  <si>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</si>
  <si>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</si>
  <si>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</si>
  <si>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</si>
  <si>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</si>
  <si>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</si>
  <si>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</si>
  <si>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</si>
  <si>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</si>
  <si>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</si>
  <si>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</si>
  <si>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</si>
  <si>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</si>
  <si>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</si>
  <si>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</si>
  <si>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</si>
  <si>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</si>
  <si>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</si>
  <si>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</si>
  <si>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</si>
  <si>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</si>
  <si>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</si>
  <si>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</si>
  <si>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</si>
  <si>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</si>
  <si>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</si>
  <si>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</si>
  <si>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</si>
  <si>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</si>
  <si>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</si>
  <si>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</si>
  <si>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</si>
  <si>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</si>
  <si>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</si>
  <si>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</si>
  <si>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</si>
  <si>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</si>
  <si>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</si>
  <si>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</si>
  <si>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</si>
  <si>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</si>
  <si>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</si>
  <si>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</si>
  <si>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</si>
  <si>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</si>
  <si>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</si>
  <si>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</si>
  <si>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</si>
  <si>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</si>
  <si>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</si>
  <si>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</si>
  <si>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</si>
  <si>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</si>
  <si>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</si>
  <si>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</si>
  <si>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</si>
  <si>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</si>
  <si>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</si>
  <si>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</si>
  <si>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</si>
  <si>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</si>
  <si>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</si>
  <si>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</si>
  <si>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</si>
  <si>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</si>
  <si>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</si>
  <si>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</si>
  <si>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</si>
  <si>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</si>
  <si>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</si>
  <si>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</si>
  <si>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</si>
  <si>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</si>
  <si>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</si>
  <si>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</si>
  <si>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</si>
  <si>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</si>
  <si>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</si>
  <si>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</si>
  <si>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</si>
  <si>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</si>
  <si>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</si>
  <si>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</si>
  <si>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</si>
  <si>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</si>
  <si>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</si>
  <si>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</si>
  <si>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</si>
  <si>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</si>
  <si>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</si>
  <si>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</si>
  <si>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</si>
  <si>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</si>
  <si>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</si>
  <si>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</si>
  <si>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</si>
  <si>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</si>
  <si>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</si>
  <si>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</si>
  <si>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</si>
  <si>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</si>
  <si>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</si>
  <si>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</si>
  <si>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</si>
  <si>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</si>
  <si>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</si>
  <si>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</si>
  <si>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</si>
  <si>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</si>
  <si>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</si>
  <si>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</si>
  <si>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</si>
  <si>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</si>
  <si>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</si>
  <si>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</si>
  <si>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</si>
  <si>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</si>
  <si>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</si>
  <si>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</si>
  <si>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</si>
  <si>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</si>
  <si>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</si>
  <si>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</si>
  <si>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</si>
  <si>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</si>
  <si>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</si>
  <si>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</si>
  <si>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</si>
  <si>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</si>
  <si>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</si>
  <si>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</si>
  <si>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</si>
  <si>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</si>
  <si>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</si>
  <si>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</si>
  <si>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</si>
  <si>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</si>
  <si>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</si>
  <si>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</si>
  <si>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</si>
  <si>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</si>
  <si>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</si>
  <si>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</si>
  <si>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</si>
  <si>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</si>
  <si>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</si>
  <si>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</si>
  <si>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</si>
  <si>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</si>
  <si>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</si>
  <si>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</si>
  <si>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</si>
  <si>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</si>
  <si>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</si>
  <si>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</si>
  <si>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</si>
  <si>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</si>
  <si>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</si>
  <si>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</si>
  <si>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</si>
  <si>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</si>
  <si>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</si>
  <si>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</si>
  <si>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</si>
  <si>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</si>
  <si>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</si>
  <si>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</si>
  <si>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</si>
  <si>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</si>
  <si>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</si>
  <si>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</si>
  <si>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</si>
  <si>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</si>
  <si>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</si>
  <si>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</si>
  <si>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</si>
  <si>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</si>
  <si>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</si>
  <si>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</si>
  <si>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</si>
  <si>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</si>
  <si>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</si>
  <si>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</si>
  <si>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</si>
  <si>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</si>
  <si>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</si>
  <si>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</si>
  <si>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</si>
  <si>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</si>
  <si>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</si>
  <si>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</si>
  <si>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</si>
  <si>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</si>
  <si>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</si>
  <si>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</si>
  <si>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</si>
  <si>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</si>
  <si>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</si>
  <si>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</si>
  <si>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</si>
  <si>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</si>
  <si>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</si>
  <si>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</si>
  <si>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</si>
  <si>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</si>
  <si>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</si>
  <si>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</si>
  <si>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</si>
  <si>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</si>
  <si>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</si>
  <si>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</si>
  <si>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</si>
  <si>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</si>
  <si>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</si>
  <si>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</si>
  <si>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</si>
  <si>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</si>
  <si>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</si>
  <si>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</si>
  <si>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</si>
  <si>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</si>
  <si>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</si>
  <si>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</si>
  <si>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</si>
  <si>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</si>
  <si>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</si>
  <si>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</si>
  <si>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</si>
  <si>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</si>
  <si>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</si>
  <si>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</si>
  <si>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</si>
  <si>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</si>
  <si>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</si>
  <si>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</si>
  <si>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</si>
  <si>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</si>
  <si>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</si>
  <si>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</si>
  <si>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</si>
  <si>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</si>
  <si>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</si>
  <si>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</si>
  <si>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</si>
  <si>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</si>
  <si>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</si>
  <si>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</si>
  <si>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</si>
  <si>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</si>
  <si>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</si>
  <si>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</si>
  <si>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</si>
  <si>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</si>
  <si>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</si>
  <si>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</si>
  <si>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</si>
  <si>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</si>
  <si>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</si>
  <si>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</si>
  <si>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</si>
  <si>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</si>
  <si>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</si>
  <si>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</si>
  <si>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</si>
  <si>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</si>
  <si>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</si>
  <si>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</si>
  <si>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</si>
  <si>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</si>
  <si>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</si>
  <si>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</si>
  <si>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</si>
  <si>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</si>
  <si>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</si>
  <si>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</si>
  <si>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</si>
  <si>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</si>
  <si>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</si>
  <si>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</si>
  <si>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</si>
  <si>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</si>
  <si>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</si>
  <si>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</si>
  <si>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</si>
  <si>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</si>
  <si>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</si>
  <si>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</si>
  <si>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</si>
  <si>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</si>
  <si>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</si>
  <si>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</si>
  <si>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</si>
  <si>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</si>
  <si>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</si>
  <si>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</si>
  <si>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</si>
  <si>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</si>
  <si>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</si>
  <si>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</si>
  <si>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</si>
  <si>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</si>
  <si>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</si>
  <si>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</si>
  <si>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</si>
  <si>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</si>
  <si>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</si>
  <si>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</si>
  <si>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</si>
  <si>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</si>
  <si>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</si>
  <si>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</si>
  <si>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</si>
  <si>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</si>
  <si>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</si>
  <si>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</si>
  <si>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</si>
  <si>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</si>
  <si>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</si>
  <si>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</si>
  <si>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</si>
  <si>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</si>
  <si>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</si>
  <si>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</si>
  <si>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</si>
  <si>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</si>
  <si>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</si>
  <si>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</si>
  <si>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</si>
  <si>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</si>
  <si>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</si>
  <si>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</si>
  <si>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</si>
  <si>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</si>
  <si>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</si>
  <si>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</si>
  <si>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</si>
  <si>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</si>
  <si>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</si>
  <si>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</si>
  <si>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</si>
  <si>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</si>
  <si>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</si>
  <si>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</si>
  <si>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</si>
  <si>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</si>
  <si>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</si>
  <si>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</si>
  <si>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</si>
  <si>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</si>
  <si>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</si>
  <si>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</si>
  <si>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</si>
  <si>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</si>
  <si>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</si>
  <si>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</si>
  <si>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</si>
  <si>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</si>
  <si>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</si>
  <si>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</si>
  <si>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</si>
  <si>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</si>
  <si>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</si>
  <si>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</si>
  <si>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</si>
  <si>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</si>
  <si>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</si>
  <si>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</si>
  <si>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</si>
  <si>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</si>
  <si>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</si>
  <si>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</si>
  <si>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</si>
  <si>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</si>
  <si>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</si>
  <si>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</si>
  <si>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</si>
  <si>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</si>
  <si>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</si>
  <si>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</si>
  <si>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</si>
  <si>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</si>
  <si>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</si>
  <si>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</si>
  <si>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</si>
  <si>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</si>
  <si>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</si>
  <si>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</si>
  <si>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</si>
  <si>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</si>
  <si>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</si>
  <si>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</si>
  <si>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</si>
  <si>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</si>
  <si>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</si>
  <si>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</si>
  <si>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</si>
  <si>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</si>
  <si>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</si>
  <si>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</si>
  <si>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</si>
  <si>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</si>
  <si>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</si>
  <si>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</si>
  <si>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</si>
  <si>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</si>
  <si>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</si>
  <si>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</si>
  <si>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</si>
  <si>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</si>
  <si>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</si>
  <si>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</si>
  <si>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</si>
  <si>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</si>
  <si>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</si>
  <si>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</si>
  <si>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</si>
  <si>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</si>
  <si>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</si>
  <si>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</si>
  <si>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</si>
  <si>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</si>
  <si>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</si>
  <si>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</si>
  <si>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</si>
  <si>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</si>
  <si>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</si>
  <si>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</si>
  <si>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</si>
  <si>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</si>
  <si>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</si>
  <si>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</si>
  <si>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</si>
  <si>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</si>
  <si>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</si>
  <si>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</si>
  <si>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</si>
  <si>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</si>
  <si>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</si>
  <si>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</si>
  <si>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</si>
  <si>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</si>
  <si>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</si>
  <si>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</si>
  <si>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</si>
  <si>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</si>
  <si>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</si>
  <si>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</si>
  <si>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</si>
  <si>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</si>
  <si>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</si>
  <si>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</si>
  <si>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</si>
  <si>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</si>
  <si>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</si>
  <si>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</si>
  <si>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</si>
  <si>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</si>
  <si>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</si>
  <si>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</si>
  <si>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</si>
  <si>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</si>
  <si>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</si>
  <si>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</si>
  <si>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</si>
  <si>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</si>
  <si>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</si>
  <si>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</si>
  <si>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</si>
  <si>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</si>
  <si>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</si>
  <si>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</si>
  <si>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</si>
  <si>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</si>
  <si>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</si>
  <si>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</si>
  <si>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</si>
  <si>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</si>
  <si>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</si>
  <si>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</si>
  <si>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</si>
  <si>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</si>
  <si>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</si>
  <si>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</si>
  <si>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</si>
  <si>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</si>
  <si>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</si>
  <si>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</si>
  <si>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</si>
  <si>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</si>
  <si>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</si>
  <si>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</si>
  <si>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</si>
  <si>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</si>
  <si>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</si>
  <si>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</si>
  <si>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</si>
  <si>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</si>
  <si>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</si>
  <si>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</si>
  <si>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</si>
  <si>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</si>
  <si>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</si>
  <si>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</si>
  <si>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</si>
  <si>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</si>
  <si>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</si>
  <si>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</si>
  <si>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</si>
  <si>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</si>
  <si>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</si>
  <si>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</si>
  <si>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</si>
  <si>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</si>
  <si>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</si>
  <si>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</si>
  <si>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</si>
  <si>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</si>
  <si>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</si>
  <si>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</si>
  <si>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</si>
  <si>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</si>
  <si>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</si>
  <si>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</si>
  <si>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</si>
  <si>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</si>
  <si>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</si>
  <si>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</si>
  <si>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</si>
  <si>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</si>
  <si>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</si>
  <si>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</si>
  <si>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</si>
  <si>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</si>
  <si>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</si>
  <si>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</si>
  <si>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</si>
  <si>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</si>
  <si>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</si>
  <si>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</si>
  <si>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</si>
  <si>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</si>
  <si>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</si>
  <si>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</si>
  <si>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</si>
  <si>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</si>
  <si>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</si>
  <si>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</si>
  <si>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</si>
  <si>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</si>
  <si>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</si>
  <si>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</si>
  <si>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</si>
  <si>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</si>
  <si>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</si>
  <si>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</si>
  <si>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</si>
  <si>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</si>
  <si>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</si>
  <si>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</si>
  <si>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</si>
  <si>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</si>
  <si>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</si>
  <si>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</si>
  <si>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</si>
  <si>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</si>
  <si>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</si>
  <si>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</si>
  <si>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</si>
  <si>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</si>
  <si>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</si>
  <si>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</si>
  <si>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</si>
  <si>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</si>
  <si>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</si>
  <si>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</si>
  <si>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</si>
  <si>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</si>
  <si>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</si>
  <si>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</si>
  <si>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</si>
  <si>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</si>
  <si>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</si>
  <si>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</si>
  <si>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</si>
  <si>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</si>
  <si>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</si>
  <si>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</si>
  <si>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</si>
  <si>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</si>
  <si>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</si>
  <si>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</si>
  <si>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</si>
  <si>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</si>
  <si>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</si>
  <si>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</si>
  <si>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</si>
  <si>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</si>
  <si>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</si>
  <si>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</si>
  <si>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</si>
  <si>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</si>
  <si>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</si>
  <si>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</si>
  <si>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</si>
  <si>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</si>
  <si>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</si>
  <si>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</si>
  <si>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</si>
  <si>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</si>
  <si>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</si>
  <si>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</si>
  <si>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</si>
  <si>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</si>
  <si>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</si>
  <si>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</si>
  <si>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</si>
  <si>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</si>
  <si>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</si>
  <si>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</si>
  <si>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</si>
  <si>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</si>
  <si>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</si>
  <si>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</si>
  <si>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</si>
  <si>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</si>
  <si>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</si>
  <si>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</si>
  <si>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</si>
  <si>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</si>
  <si>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</si>
  <si>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</si>
  <si>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</si>
  <si>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</si>
  <si>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</si>
  <si>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</si>
  <si>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</si>
  <si>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</si>
  <si>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</si>
  <si>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</si>
  <si>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</si>
  <si>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</si>
  <si>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</si>
  <si>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</si>
  <si>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</si>
  <si>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</si>
  <si>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</si>
  <si>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</si>
  <si>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</si>
  <si>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</si>
  <si>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</si>
  <si>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</si>
  <si>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</si>
  <si>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</si>
  <si>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</si>
  <si>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</si>
  <si>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</si>
  <si>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</si>
  <si>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</si>
  <si>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</si>
  <si>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</si>
  <si>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</si>
  <si>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</si>
  <si>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</si>
  <si>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</si>
  <si>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</si>
  <si>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</si>
  <si>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</si>
  <si>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</si>
  <si>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</si>
  <si>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</si>
  <si>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</si>
  <si>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</si>
  <si>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</si>
  <si>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</si>
  <si>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</si>
  <si>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</si>
  <si>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</si>
  <si>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</si>
  <si>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</si>
  <si>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</si>
  <si>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</si>
  <si>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</si>
  <si>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</si>
  <si>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</si>
  <si>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</si>
  <si>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</si>
  <si>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</si>
  <si>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</si>
  <si>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</si>
  <si>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</si>
  <si>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</si>
  <si>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</si>
  <si>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</si>
  <si>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</si>
  <si>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</si>
  <si>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</si>
  <si>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</si>
  <si>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</si>
  <si>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</si>
  <si>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</si>
  <si>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</si>
  <si>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</si>
  <si>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</si>
  <si>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</si>
  <si>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</si>
  <si>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</si>
  <si>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</si>
  <si>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</si>
  <si>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</si>
  <si>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</si>
  <si>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</si>
  <si>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</si>
  <si>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</si>
  <si>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</si>
  <si>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</si>
  <si>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</si>
  <si>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</si>
  <si>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</si>
  <si>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</si>
  <si>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</si>
  <si>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</si>
  <si>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</si>
  <si>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</si>
  <si>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</si>
  <si>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</si>
  <si>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</si>
  <si>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</si>
  <si>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</si>
  <si>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</si>
  <si>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</si>
  <si>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</si>
  <si>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</si>
  <si>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</si>
  <si>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</si>
  <si>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</si>
  <si>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</si>
  <si>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</si>
  <si>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</si>
  <si>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</si>
  <si>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</si>
  <si>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</si>
  <si>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</si>
  <si>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</si>
  <si>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</si>
  <si>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</si>
  <si>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</si>
  <si>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</si>
  <si>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</si>
  <si>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</si>
  <si>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</si>
  <si>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</si>
  <si>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</si>
  <si>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</si>
  <si>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</si>
  <si>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</si>
  <si>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</si>
  <si>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</si>
  <si>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</si>
  <si>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</si>
  <si>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</si>
  <si>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</si>
  <si>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</si>
  <si>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</si>
  <si>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</si>
  <si>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</si>
  <si>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</si>
  <si>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</si>
  <si>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</si>
  <si>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</si>
  <si>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</si>
  <si>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</si>
  <si>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</si>
  <si>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</si>
  <si>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</si>
  <si>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</si>
  <si>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</si>
  <si>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</si>
  <si>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</si>
  <si>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</si>
  <si>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</si>
  <si>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</si>
  <si>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</si>
  <si>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</si>
  <si>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</si>
  <si>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</si>
  <si>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</si>
  <si>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</si>
  <si>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</si>
  <si>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</si>
  <si>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</si>
  <si>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</si>
  <si>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</si>
  <si>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</si>
  <si>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</si>
  <si>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</si>
  <si>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</si>
  <si>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</si>
  <si>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</si>
  <si>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</si>
  <si>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</si>
  <si>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</si>
  <si>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</si>
  <si>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</si>
  <si>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</si>
  <si>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</si>
  <si>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</si>
  <si>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</si>
  <si>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</si>
  <si>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</si>
  <si>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</si>
  <si>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</si>
  <si>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</si>
  <si>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</si>
  <si>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</si>
  <si>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</si>
  <si>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</si>
  <si>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</si>
  <si>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</si>
  <si>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</si>
  <si>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</si>
  <si>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</si>
  <si>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</si>
  <si>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</si>
  <si>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</si>
  <si>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</si>
  <si>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</si>
  <si>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</si>
  <si>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</si>
  <si>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</si>
  <si>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</si>
  <si>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</si>
  <si>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</si>
  <si>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</si>
  <si>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</si>
  <si>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</si>
  <si>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</si>
  <si>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</si>
  <si>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</si>
  <si>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</si>
  <si>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</si>
  <si>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</si>
  <si>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</si>
  <si>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</si>
  <si>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</si>
  <si>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</si>
  <si>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</si>
  <si>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</si>
  <si>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</si>
  <si>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</si>
  <si>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</si>
  <si>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</si>
  <si>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</si>
  <si>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</si>
  <si>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</si>
  <si>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</si>
  <si>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</si>
  <si>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</si>
  <si>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</si>
  <si>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</si>
  <si>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</si>
  <si>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</si>
  <si>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</si>
  <si>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</si>
  <si>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</si>
  <si>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</si>
  <si>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</si>
  <si>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</si>
  <si>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</si>
  <si>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</si>
  <si>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</si>
  <si>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</si>
  <si>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</si>
  <si>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</si>
  <si>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</si>
  <si>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</si>
  <si>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</si>
  <si>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</si>
  <si>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</si>
  <si>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</si>
  <si>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</si>
  <si>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</si>
  <si>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</si>
  <si>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</si>
  <si>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</si>
  <si>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</si>
  <si>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</si>
  <si>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</si>
  <si>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</si>
  <si>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</si>
  <si>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</si>
  <si>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</si>
  <si>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</si>
  <si>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</si>
  <si>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</si>
  <si>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</si>
  <si>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</si>
  <si>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</si>
  <si>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</si>
  <si>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</si>
  <si>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</si>
  <si>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</si>
  <si>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</si>
  <si>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</si>
  <si>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</si>
  <si>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</si>
  <si>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</si>
  <si>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</si>
  <si>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</si>
  <si>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</si>
  <si>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</si>
  <si>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</si>
  <si>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</si>
  <si>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</si>
  <si>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</si>
  <si>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</si>
  <si>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</si>
  <si>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</si>
  <si>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</si>
  <si>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</si>
  <si>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</si>
  <si>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</si>
  <si>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</si>
  <si>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</si>
  <si>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</si>
  <si>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</si>
  <si>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</si>
  <si>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</si>
  <si>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</si>
  <si>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</si>
  <si>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</si>
  <si>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</si>
  <si>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</si>
  <si>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</si>
  <si>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</si>
  <si>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</si>
  <si>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</si>
  <si>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</si>
  <si>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</si>
  <si>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</si>
  <si>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</si>
  <si>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</si>
  <si>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</si>
  <si>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</si>
  <si>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</si>
  <si>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</si>
  <si>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</si>
  <si>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</si>
  <si>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</si>
  <si>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</si>
  <si>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</si>
  <si>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</si>
  <si>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</si>
  <si>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</si>
  <si>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</si>
  <si>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</si>
  <si>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</si>
  <si>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</si>
  <si>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</si>
  <si>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</si>
  <si>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</si>
  <si>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</si>
  <si>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</si>
  <si>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</si>
  <si>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</si>
  <si>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</si>
  <si>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</si>
  <si>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</si>
  <si>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</si>
  <si>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</si>
  <si>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</si>
  <si>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</si>
  <si>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</si>
  <si>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</si>
  <si>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</si>
  <si>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</si>
  <si>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</si>
  <si>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</si>
  <si>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</si>
  <si>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</si>
  <si>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</si>
  <si>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</si>
  <si>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</si>
  <si>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</si>
  <si>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</si>
  <si>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</si>
  <si>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</si>
  <si>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</si>
  <si>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</si>
  <si>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</si>
  <si>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</si>
  <si>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</si>
  <si>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</si>
  <si>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</si>
  <si>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</si>
  <si>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</si>
  <si>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</si>
  <si>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</si>
  <si>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</si>
  <si>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</si>
  <si>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</si>
  <si>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</si>
  <si>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</si>
  <si>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</si>
  <si>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</si>
  <si>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</si>
  <si>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</si>
  <si>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</si>
  <si>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</si>
  <si>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</si>
  <si>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</si>
  <si>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</si>
  <si>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</si>
  <si>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</si>
  <si>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</si>
  <si>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</si>
  <si>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</si>
  <si>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</si>
  <si>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</si>
  <si>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</si>
  <si>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</si>
  <si>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</si>
  <si>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</si>
  <si>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</si>
  <si>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</si>
  <si>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</si>
  <si>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</si>
  <si>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</si>
  <si>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</si>
  <si>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</si>
  <si>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</si>
  <si>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</si>
  <si>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</si>
  <si>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</si>
  <si>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</si>
  <si>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</si>
  <si>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</si>
  <si>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</si>
  <si>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</si>
  <si>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</si>
  <si>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</si>
  <si>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</si>
  <si>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</si>
  <si>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</si>
  <si>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</si>
  <si>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</si>
  <si>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</si>
  <si>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</si>
  <si>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</si>
  <si>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</si>
  <si>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</si>
  <si>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</si>
  <si>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</si>
  <si>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</si>
  <si>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</si>
  <si>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</si>
  <si>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</si>
  <si>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</si>
  <si>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</si>
  <si>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</si>
  <si>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</si>
  <si>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</si>
  <si>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</si>
  <si>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</si>
  <si>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</si>
  <si>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</si>
  <si>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</si>
  <si>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</si>
  <si>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</si>
  <si>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</si>
  <si>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</si>
  <si>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</si>
  <si>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</si>
  <si>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</si>
  <si>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</si>
  <si>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</si>
  <si>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</si>
  <si>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</si>
  <si>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</si>
  <si>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</si>
  <si>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</si>
  <si>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</si>
  <si>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</si>
  <si>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</si>
  <si>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</si>
  <si>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</si>
  <si>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</si>
  <si>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</si>
  <si>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</si>
  <si>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</si>
  <si>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</si>
  <si>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</si>
  <si>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</si>
  <si>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</si>
  <si>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</si>
  <si>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</si>
  <si>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</si>
  <si>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</si>
  <si>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</si>
  <si>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</si>
  <si>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</si>
  <si>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</si>
  <si>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</si>
  <si>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</si>
  <si>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</si>
  <si>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</si>
  <si>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</si>
  <si>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</si>
  <si>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</si>
  <si>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</si>
  <si>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</si>
  <si>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</si>
  <si>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</si>
  <si>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</si>
  <si>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</si>
  <si>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</si>
  <si>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</si>
  <si>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</si>
  <si>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</si>
  <si>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</si>
  <si>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</si>
  <si>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</si>
  <si>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</si>
  <si>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</si>
  <si>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</si>
  <si>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</si>
  <si>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</si>
  <si>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</si>
  <si>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</si>
  <si>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</si>
  <si>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</si>
  <si>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</si>
  <si>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</si>
  <si>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</si>
  <si>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</si>
  <si>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</si>
  <si>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</si>
  <si>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</si>
  <si>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</si>
  <si>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</si>
  <si>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</si>
  <si>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</si>
  <si>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</si>
  <si>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</si>
  <si>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</si>
  <si>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</si>
  <si>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</si>
  <si>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</si>
  <si>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</si>
  <si>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</si>
  <si>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</si>
  <si>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</si>
  <si>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</si>
  <si>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</si>
  <si>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</si>
  <si>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</si>
  <si>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</si>
  <si>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</si>
  <si>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</si>
  <si>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</si>
  <si>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</si>
  <si>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</si>
  <si>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</si>
  <si>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</si>
  <si>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</si>
  <si>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</si>
  <si>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</si>
  <si>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</si>
  <si>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</si>
  <si>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</si>
  <si>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</si>
  <si>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</si>
  <si>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</si>
  <si>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</si>
  <si>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</si>
  <si>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</si>
  <si>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</si>
  <si>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</si>
  <si>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</si>
  <si>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</si>
  <si>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</si>
  <si>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</si>
  <si>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</si>
  <si>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</si>
  <si>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</si>
  <si>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</si>
  <si>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</si>
  <si>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</si>
  <si>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</si>
  <si>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</si>
  <si>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</si>
  <si>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</si>
  <si>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</si>
  <si>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</si>
  <si>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</si>
  <si>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</si>
  <si>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</si>
  <si>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</si>
  <si>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</si>
  <si>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</si>
  <si>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</si>
  <si>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</si>
  <si>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</si>
  <si>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</si>
  <si>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</si>
  <si>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</si>
  <si>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</si>
  <si>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</si>
  <si>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</si>
  <si>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</si>
  <si>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</si>
  <si>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</si>
  <si>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</si>
  <si>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</si>
  <si>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</si>
  <si>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</si>
  <si>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</si>
  <si>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</si>
  <si>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</si>
  <si>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</si>
  <si>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</si>
  <si>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</si>
  <si>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</si>
  <si>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</si>
  <si>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</si>
  <si>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</si>
  <si>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</si>
  <si>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</si>
  <si>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</si>
  <si>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</si>
  <si>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</si>
  <si>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</si>
  <si>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</si>
  <si>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</si>
  <si>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</si>
  <si>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</si>
  <si>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</si>
  <si>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</si>
  <si>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</si>
  <si>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</si>
  <si>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</si>
  <si>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</si>
  <si>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</si>
  <si>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</si>
  <si>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</si>
  <si>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</si>
  <si>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</si>
  <si>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</si>
  <si>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</si>
  <si>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</si>
  <si>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</si>
  <si>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</si>
  <si>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</si>
  <si>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</si>
  <si>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</si>
  <si>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</si>
  <si>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</si>
  <si>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</si>
  <si>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</si>
  <si>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</si>
  <si>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</si>
  <si>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</si>
  <si>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</si>
  <si>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</si>
  <si>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</si>
  <si>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</si>
  <si>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</si>
  <si>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</si>
  <si>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</si>
  <si>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</si>
  <si>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</si>
  <si>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</si>
  <si>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</si>
  <si>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</si>
  <si>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</si>
  <si>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</si>
  <si>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</si>
  <si>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</si>
  <si>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</si>
  <si>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</si>
  <si>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</si>
  <si>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</si>
  <si>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</si>
  <si>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</si>
  <si>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</si>
  <si>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</si>
  <si>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</si>
  <si>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</si>
  <si>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</si>
  <si>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</si>
  <si>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</si>
  <si>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</si>
  <si>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</si>
  <si>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</si>
  <si>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</si>
  <si>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</si>
  <si>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</si>
  <si>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</si>
  <si>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</si>
  <si>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</si>
  <si>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</si>
  <si>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</si>
  <si>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</si>
  <si>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</si>
  <si>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</si>
  <si>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</si>
  <si>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</si>
  <si>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</si>
  <si>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</si>
  <si>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</si>
  <si>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</si>
  <si>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</si>
  <si>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</si>
  <si>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</si>
  <si>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</si>
  <si>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</si>
  <si>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</si>
  <si>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</si>
  <si>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</si>
  <si>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</si>
  <si>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</si>
  <si>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</si>
  <si>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</si>
  <si>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</si>
  <si>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</si>
  <si>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</si>
  <si>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</si>
  <si>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</si>
  <si>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</si>
  <si>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</si>
  <si>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</si>
  <si>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</si>
  <si>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</si>
  <si>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</si>
  <si>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</si>
  <si>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</si>
  <si>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</si>
  <si>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</si>
  <si>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</si>
  <si>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</si>
  <si>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</si>
  <si>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</si>
  <si>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</si>
  <si>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</si>
  <si>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</si>
  <si>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</si>
  <si>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</si>
  <si>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</si>
  <si>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</si>
  <si>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</si>
  <si>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</si>
  <si>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</si>
  <si>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</si>
  <si>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</si>
  <si>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</si>
  <si>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</si>
  <si>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</si>
  <si>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</si>
  <si>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</si>
  <si>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</si>
  <si>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</si>
  <si>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</si>
  <si>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</si>
  <si>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</si>
  <si>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</si>
  <si>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</si>
  <si>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</si>
  <si>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</si>
  <si>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</si>
  <si>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</si>
  <si>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</si>
  <si>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</si>
  <si>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</si>
  <si>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</si>
  <si>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</si>
  <si>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</si>
  <si>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</si>
  <si>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</si>
  <si>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</si>
  <si>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</si>
  <si>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</si>
  <si>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</si>
  <si>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</si>
  <si>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</si>
  <si>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</si>
  <si>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</si>
  <si>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</si>
  <si>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</si>
  <si>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</si>
  <si>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</si>
  <si>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</si>
  <si>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</si>
  <si>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</si>
  <si>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</si>
  <si>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</si>
  <si>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</si>
  <si>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</si>
  <si>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</si>
  <si>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</si>
  <si>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</si>
  <si>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</si>
  <si>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</si>
  <si>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</si>
  <si>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</si>
  <si>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</si>
  <si>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</si>
  <si>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</si>
  <si>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</si>
  <si>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</si>
  <si>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</si>
  <si>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</si>
  <si>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</si>
  <si>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</si>
  <si>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</si>
  <si>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</si>
  <si>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</si>
  <si>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</si>
  <si>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</si>
  <si>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</si>
  <si>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</si>
  <si>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</si>
  <si>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</si>
  <si>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</si>
  <si>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</si>
  <si>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</si>
  <si>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</si>
  <si>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</si>
  <si>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</si>
  <si>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</si>
  <si>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</si>
  <si>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</si>
  <si>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</si>
  <si>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</si>
  <si>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</si>
  <si>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</si>
  <si>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</si>
  <si>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</si>
  <si>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</si>
  <si>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</si>
  <si>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</si>
  <si>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</si>
  <si>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</si>
  <si>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</si>
  <si>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</si>
  <si>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</si>
  <si>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</si>
  <si>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</si>
  <si>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</si>
  <si>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</si>
  <si>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</si>
  <si>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</si>
  <si>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</si>
  <si>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</si>
  <si>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</si>
  <si>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</si>
  <si>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</si>
  <si>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</si>
  <si>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</si>
  <si>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</si>
  <si>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</si>
  <si>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</si>
  <si>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</si>
  <si>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</si>
  <si>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</si>
  <si>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</si>
  <si>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</si>
  <si>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</si>
  <si>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</si>
  <si>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</si>
  <si>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</si>
  <si>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</si>
  <si>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</si>
  <si>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</si>
  <si>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</si>
  <si>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</si>
  <si>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</si>
  <si>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</si>
  <si>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</si>
  <si>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</si>
  <si>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</si>
  <si>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</si>
  <si>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</si>
  <si>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</si>
  <si>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</si>
  <si>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</si>
  <si>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</si>
  <si>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</si>
  <si>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</si>
  <si>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</si>
  <si>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</si>
  <si>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</si>
  <si>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</si>
  <si>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</si>
  <si>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</si>
  <si>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</si>
  <si>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</si>
  <si>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</si>
  <si>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</si>
  <si>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</si>
  <si>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</si>
  <si>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</si>
  <si>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</si>
  <si>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</si>
  <si>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</si>
  <si>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</si>
  <si>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</si>
  <si>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</si>
  <si>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</si>
  <si>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</si>
  <si>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</si>
  <si>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</si>
  <si>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</si>
  <si>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</si>
  <si>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</si>
  <si>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</si>
  <si>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</si>
  <si>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</si>
  <si>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</si>
  <si>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</si>
  <si>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</si>
  <si>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</si>
  <si>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</si>
  <si>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</si>
  <si>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</si>
  <si>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</si>
  <si>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</si>
  <si>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</si>
  <si>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</si>
  <si>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</si>
  <si>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</si>
  <si>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</si>
  <si>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</si>
  <si>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</si>
  <si>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</si>
  <si>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</si>
  <si>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</si>
  <si>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</si>
  <si>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</si>
  <si>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</si>
  <si>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</si>
  <si>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</si>
  <si>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</si>
  <si>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</si>
  <si>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</si>
  <si>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</si>
  <si>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</si>
  <si>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</si>
  <si>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</si>
  <si>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</si>
  <si>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</si>
  <si>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</si>
  <si>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</si>
  <si>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</si>
  <si>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</si>
  <si>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</si>
  <si>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</si>
  <si>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</si>
  <si>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</si>
  <si>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</si>
  <si>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</si>
  <si>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</si>
  <si>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</si>
  <si>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</si>
  <si>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</si>
  <si>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</si>
  <si>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</si>
  <si>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</si>
  <si>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</si>
  <si>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</si>
  <si>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</si>
  <si>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</si>
  <si>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</si>
  <si>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</si>
  <si>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</si>
  <si>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</si>
  <si>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</si>
  <si>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</si>
  <si>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</si>
  <si>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</si>
  <si>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</si>
  <si>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</si>
  <si>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</si>
  <si>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</si>
  <si>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</si>
  <si>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</si>
  <si>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</si>
  <si>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</si>
  <si>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</si>
  <si>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</si>
  <si>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</si>
  <si>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</si>
  <si>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</si>
  <si>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</si>
  <si>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</si>
  <si>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</si>
  <si>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</si>
  <si>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</si>
  <si>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</si>
  <si>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</si>
  <si>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</si>
  <si>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</si>
  <si>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</si>
  <si>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</si>
  <si>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</si>
  <si>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</si>
  <si>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</si>
  <si>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</si>
  <si>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</si>
  <si>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</si>
  <si>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</si>
  <si>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</si>
  <si>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</si>
  <si>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</si>
  <si>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</si>
  <si>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</si>
  <si>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</si>
  <si>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</si>
  <si>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</si>
  <si>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</si>
  <si>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</si>
  <si>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</si>
  <si>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</si>
  <si>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</si>
  <si>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</si>
  <si>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</si>
  <si>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</si>
  <si>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</si>
  <si>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</si>
  <si>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</si>
  <si>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</si>
  <si>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</si>
  <si>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</si>
  <si>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</si>
  <si>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</si>
  <si>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</si>
  <si>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</si>
  <si>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</si>
  <si>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</si>
  <si>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</si>
  <si>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</si>
  <si>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</si>
  <si>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</si>
  <si>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</si>
  <si>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</si>
  <si>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</si>
  <si>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</si>
  <si>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</si>
  <si>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</si>
  <si>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</si>
  <si>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</si>
  <si>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</si>
  <si>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</si>
  <si>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</si>
  <si>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</si>
  <si>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</si>
  <si>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</si>
  <si>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</si>
  <si>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</si>
  <si>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</si>
  <si>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</si>
  <si>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</si>
  <si>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</si>
  <si>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</si>
  <si>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</si>
  <si>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</si>
  <si>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</si>
  <si>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</si>
  <si>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</si>
  <si>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</si>
  <si>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</si>
  <si>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</si>
  <si>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</si>
  <si>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</si>
  <si>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</si>
  <si>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</si>
  <si>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</si>
  <si>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</si>
  <si>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</si>
  <si>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</si>
  <si>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</si>
  <si>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</si>
  <si>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</si>
  <si>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</si>
  <si>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</si>
  <si>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</si>
  <si>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</si>
  <si>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</si>
  <si>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</si>
  <si>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</si>
  <si>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</si>
  <si>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</si>
  <si>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</si>
  <si>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</si>
  <si>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</si>
  <si>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</si>
  <si>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</si>
  <si>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</si>
  <si>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</si>
  <si>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</si>
  <si>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</si>
  <si>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</si>
  <si>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</si>
  <si>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</si>
  <si>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</si>
  <si>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</si>
  <si>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</si>
  <si>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</si>
  <si>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</si>
  <si>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</si>
  <si>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</si>
  <si>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</si>
  <si>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</si>
  <si>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</si>
  <si>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</si>
  <si>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</si>
  <si>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</si>
  <si>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</si>
  <si>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</si>
  <si>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</si>
  <si>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</si>
  <si>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</si>
  <si>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</si>
  <si>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</si>
  <si>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</si>
  <si>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</si>
  <si>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</si>
  <si>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</si>
  <si>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</si>
  <si>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</si>
  <si>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</si>
  <si>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</si>
  <si>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</si>
  <si>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</si>
  <si>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</si>
  <si>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</si>
  <si>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</si>
  <si>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</si>
  <si>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</si>
  <si>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</si>
  <si>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</si>
  <si>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</si>
  <si>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</si>
  <si>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</si>
  <si>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</si>
  <si>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</si>
  <si>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</si>
  <si>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</si>
  <si>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</si>
  <si>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</si>
  <si>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</si>
  <si>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</si>
  <si>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</si>
  <si>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</si>
  <si>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</si>
  <si>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</si>
  <si>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</si>
  <si>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</si>
  <si>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</si>
  <si>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</si>
  <si>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</si>
  <si>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</si>
  <si>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</si>
  <si>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</si>
  <si>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</si>
  <si>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</si>
  <si>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</si>
  <si>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</si>
  <si>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</si>
  <si>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</si>
  <si>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</si>
  <si>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</si>
  <si>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</si>
  <si>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</si>
  <si>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</si>
  <si>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</si>
  <si>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</si>
  <si>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</si>
  <si>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</si>
  <si>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</si>
  <si>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</si>
  <si>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</si>
  <si>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</si>
  <si>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</si>
  <si>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</si>
  <si>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</si>
  <si>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</si>
  <si>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</si>
  <si>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</si>
  <si>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</si>
  <si>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</si>
  <si>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</si>
  <si>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</si>
  <si>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</si>
  <si>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</si>
  <si>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</si>
  <si>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</si>
  <si>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</si>
  <si>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</si>
  <si>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</si>
  <si>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</si>
  <si>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</si>
  <si>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</si>
  <si>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</si>
  <si>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</si>
  <si>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</si>
  <si>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</si>
  <si>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</si>
  <si>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</si>
  <si>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</si>
  <si>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</si>
  <si>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</si>
  <si>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</si>
  <si>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</si>
  <si>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</si>
  <si>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</si>
  <si>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</si>
  <si>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</si>
  <si>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</si>
  <si>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</si>
  <si>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</si>
  <si>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</si>
  <si>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</si>
  <si>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</si>
  <si>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</si>
  <si>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</si>
  <si>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</si>
  <si>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</si>
  <si>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</si>
  <si>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</si>
  <si>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</si>
  <si>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</si>
  <si>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</si>
  <si>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</si>
  <si>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</si>
  <si>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</si>
  <si>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</si>
  <si>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</si>
  <si>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</si>
  <si>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</si>
  <si>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</si>
  <si>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</si>
  <si>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</si>
  <si>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</si>
  <si>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</si>
  <si>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</si>
  <si>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</si>
  <si>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</si>
  <si>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</si>
  <si>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</si>
  <si>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</si>
  <si>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</si>
  <si>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</si>
  <si>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</si>
  <si>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</si>
  <si>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</si>
  <si>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</si>
  <si>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</si>
  <si>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</si>
  <si>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</si>
  <si>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</si>
  <si>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</si>
  <si>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</si>
  <si>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</si>
  <si>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</si>
  <si>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</si>
  <si>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</si>
  <si>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</si>
  <si>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</si>
  <si>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</si>
  <si>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</si>
  <si>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</si>
  <si>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</si>
  <si>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</si>
  <si>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</si>
  <si>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</si>
  <si>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</si>
  <si>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</si>
  <si>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</si>
  <si>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</si>
  <si>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</si>
  <si>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</si>
  <si>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</si>
  <si>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</si>
  <si>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</si>
  <si>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</si>
  <si>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</si>
  <si>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</si>
  <si>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</si>
  <si>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</si>
  <si>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</si>
  <si>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</si>
  <si>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</si>
  <si>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</si>
  <si>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</si>
  <si>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</si>
  <si>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</si>
  <si>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</si>
  <si>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</si>
  <si>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</si>
  <si>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</si>
  <si>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</si>
  <si>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</si>
  <si>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</si>
  <si>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</si>
  <si>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</si>
  <si>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</si>
  <si>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</si>
  <si>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</si>
  <si>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</si>
  <si>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</si>
  <si>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</si>
  <si>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</si>
  <si>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</si>
  <si>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</si>
  <si>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</si>
  <si>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</si>
  <si>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</si>
  <si>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</si>
  <si>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</si>
  <si>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</si>
  <si>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</si>
  <si>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</si>
  <si>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</si>
  <si>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</si>
  <si>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</si>
  <si>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</si>
  <si>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</si>
  <si>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</si>
  <si>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</si>
  <si>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</si>
  <si>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</si>
  <si>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</si>
  <si>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</si>
  <si>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</si>
  <si>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</si>
  <si>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</si>
  <si>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</si>
  <si>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</si>
  <si>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</si>
  <si>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</si>
  <si>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</si>
  <si>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</si>
  <si>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</si>
  <si>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</si>
  <si>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</si>
  <si>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</si>
  <si>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</si>
  <si>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</si>
  <si>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</si>
  <si>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</si>
  <si>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</si>
  <si>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</si>
  <si>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</si>
  <si>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</si>
  <si>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</si>
  <si>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</si>
  <si>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</si>
  <si>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</si>
  <si>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</si>
  <si>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</si>
  <si>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</si>
  <si>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</si>
  <si>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</si>
  <si>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</si>
  <si>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</si>
  <si>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</si>
  <si>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</si>
  <si>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</si>
  <si>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</si>
  <si>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</si>
  <si>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</si>
  <si>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</si>
  <si>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</si>
  <si>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</si>
  <si>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</si>
  <si>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</si>
  <si>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</si>
  <si>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</si>
  <si>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</si>
  <si>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</si>
  <si>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</si>
  <si>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</si>
  <si>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</si>
  <si>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</si>
  <si>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</si>
  <si>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</si>
  <si>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</si>
  <si>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</si>
  <si>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</si>
  <si>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</si>
  <si>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</si>
  <si>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</si>
  <si>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</si>
  <si>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</si>
  <si>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</si>
  <si>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</si>
  <si>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</si>
  <si>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</si>
  <si>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</si>
  <si>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</si>
  <si>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</si>
  <si>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</si>
  <si>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</si>
  <si>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</si>
  <si>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</si>
  <si>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</si>
  <si>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</si>
  <si>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</si>
  <si>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</si>
  <si>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</si>
  <si>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</si>
  <si>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</si>
  <si>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</si>
  <si>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</si>
  <si>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</si>
  <si>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</si>
  <si>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</si>
  <si>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</si>
  <si>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</si>
  <si>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</si>
  <si>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</si>
  <si>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</si>
  <si>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</si>
  <si>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</si>
  <si>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</si>
  <si>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</si>
  <si>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</si>
  <si>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</si>
  <si>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</si>
  <si>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</si>
  <si>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</si>
  <si>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</si>
  <si>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</si>
  <si>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</si>
  <si>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</si>
  <si>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</si>
  <si>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</si>
  <si>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</si>
  <si>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</si>
  <si>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</si>
  <si>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</si>
  <si>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</si>
  <si>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</si>
  <si>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</si>
  <si>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</si>
  <si>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</si>
  <si>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</si>
  <si>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</si>
  <si>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</si>
  <si>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</si>
  <si>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</si>
  <si>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</si>
  <si>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</si>
  <si>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</si>
  <si>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</si>
  <si>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</si>
  <si>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</si>
  <si>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</si>
  <si>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</si>
  <si>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</si>
  <si>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</si>
  <si>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</si>
  <si>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</si>
  <si>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</si>
  <si>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</si>
  <si>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</si>
  <si>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</si>
  <si>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</si>
  <si>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</si>
  <si>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</si>
  <si>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</si>
  <si>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</si>
  <si>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</si>
  <si>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</si>
  <si>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</si>
  <si>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</si>
  <si>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</si>
  <si>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</si>
  <si>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</si>
  <si>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</si>
  <si>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</si>
  <si>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</si>
  <si>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</si>
  <si>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</si>
  <si>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</si>
  <si>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</si>
  <si>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</si>
  <si>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</si>
  <si>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Ⅵ-兴1</t>
  </si>
  <si>
    <t>国有土地使用证</t>
    <phoneticPr fontId="140" type="noConversion"/>
  </si>
  <si>
    <t>序号</t>
    <phoneticPr fontId="140" type="noConversion"/>
  </si>
  <si>
    <t>土地证号</t>
    <phoneticPr fontId="140" type="noConversion"/>
  </si>
  <si>
    <t>土地面积</t>
    <phoneticPr fontId="140" type="noConversion"/>
  </si>
  <si>
    <t>土地使用权人</t>
    <phoneticPr fontId="140" type="noConversion"/>
  </si>
  <si>
    <t>京兴国用（2008出）第00035号</t>
    <phoneticPr fontId="140" type="noConversion"/>
  </si>
  <si>
    <t>北京康鼎房地产开发有限公司</t>
    <phoneticPr fontId="140" type="noConversion"/>
  </si>
  <si>
    <t>地类（用途）</t>
    <phoneticPr fontId="140" type="noConversion"/>
  </si>
  <si>
    <t>工业</t>
    <phoneticPr fontId="140" type="noConversion"/>
  </si>
  <si>
    <t>终止日期</t>
    <phoneticPr fontId="140" type="noConversion"/>
  </si>
  <si>
    <t>京兴国用（2008出）第00033号</t>
    <phoneticPr fontId="140" type="noConversion"/>
  </si>
  <si>
    <t>京兴国用（2008出）第00034号</t>
  </si>
  <si>
    <t>合计</t>
    <phoneticPr fontId="140" type="noConversion"/>
  </si>
  <si>
    <t>房屋所有权证</t>
    <phoneticPr fontId="140" type="noConversion"/>
  </si>
  <si>
    <t>房屋所有权证号</t>
    <phoneticPr fontId="140" type="noConversion"/>
  </si>
  <si>
    <t>京房权证兴股字第00005621号</t>
    <phoneticPr fontId="140" type="noConversion"/>
  </si>
  <si>
    <t>房屋所有权人</t>
    <phoneticPr fontId="140" type="noConversion"/>
  </si>
  <si>
    <t>房屋坐落</t>
    <phoneticPr fontId="140" type="noConversion"/>
  </si>
  <si>
    <t>北京市大兴区旧宫镇北路广厦路6号</t>
    <phoneticPr fontId="140" type="noConversion"/>
  </si>
  <si>
    <t>幢号</t>
    <phoneticPr fontId="140" type="noConversion"/>
  </si>
  <si>
    <t>总楼层</t>
    <phoneticPr fontId="140" type="noConversion"/>
  </si>
  <si>
    <t>结构</t>
    <phoneticPr fontId="140" type="noConversion"/>
  </si>
  <si>
    <t>混合</t>
    <phoneticPr fontId="140" type="noConversion"/>
  </si>
  <si>
    <t>建成年份</t>
    <phoneticPr fontId="140" type="noConversion"/>
  </si>
  <si>
    <t>建筑面积</t>
    <phoneticPr fontId="140" type="noConversion"/>
  </si>
  <si>
    <t>成新度</t>
  </si>
  <si>
    <t>成新度</t>
    <phoneticPr fontId="140" type="noConversion"/>
  </si>
  <si>
    <t>地上</t>
  </si>
  <si>
    <t>是</t>
  </si>
  <si>
    <t>工业</t>
    <phoneticPr fontId="7" type="noConversion"/>
  </si>
  <si>
    <t>利息：取LPR加浮动点数</t>
  </si>
  <si>
    <t>收益法</t>
  </si>
  <si>
    <t>观察成新</t>
    <phoneticPr fontId="140" type="noConversion"/>
  </si>
  <si>
    <t>市场租金</t>
    <phoneticPr fontId="140" type="noConversion"/>
  </si>
  <si>
    <t>工业用地</t>
  </si>
  <si>
    <t>不临58条商业街</t>
  </si>
  <si>
    <t>与级别开发程度不一致</t>
  </si>
  <si>
    <t>通路</t>
  </si>
  <si>
    <t>通电</t>
  </si>
  <si>
    <t>通讯</t>
  </si>
  <si>
    <t>通上水</t>
  </si>
  <si>
    <t>通下水</t>
  </si>
  <si>
    <t>平整</t>
  </si>
  <si>
    <t>燃气</t>
  </si>
  <si>
    <t>按公示增长率计算</t>
  </si>
  <si>
    <t>容积率修正</t>
  </si>
  <si>
    <t>一般</t>
  </si>
  <si>
    <t>较好</t>
  </si>
  <si>
    <t>差</t>
  </si>
  <si>
    <t>好</t>
  </si>
  <si>
    <t>未包含在土地购买价格中</t>
  </si>
  <si>
    <t>全部缴纳</t>
  </si>
  <si>
    <t>已包含在土地取得成本中</t>
  </si>
  <si>
    <t>押一</t>
  </si>
  <si>
    <t>按租金收入计税</t>
  </si>
  <si>
    <t>砖混</t>
  </si>
  <si>
    <t>生产用房</t>
  </si>
  <si>
    <t>成本法</t>
  </si>
  <si>
    <t>总价</t>
  </si>
  <si>
    <t>收益比率</t>
  </si>
  <si>
    <t>北京市大兴区旧宫镇北马路东侧</t>
    <phoneticPr fontId="140" type="noConversion"/>
  </si>
  <si>
    <t>——</t>
    <phoneticPr fontId="140" type="noConversion"/>
  </si>
  <si>
    <t>北京康鼎房地产开发有限公司</t>
    <phoneticPr fontId="140" type="noConversion"/>
  </si>
  <si>
    <t>北京市大兴区旧宫镇北路广厦路6号</t>
    <phoneticPr fontId="140" type="noConversion"/>
  </si>
  <si>
    <t>综合成新</t>
    <phoneticPr fontId="140" type="noConversion"/>
  </si>
  <si>
    <t>基准地价修正 (2)</t>
  </si>
  <si>
    <t>基准地价修正 (2)</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</si>
</sst>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
      <b/>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254" fillId="0" borderId="0" xfId="0" applyFont="1" applyAlignment="1">
      <alignment horizontal="left" vertical="center"/>
    </xf>
    <xf numFmtId="0" fontId="254" fillId="0" borderId="1" xfId="0" applyFont="1" applyBorder="1" applyAlignment="1">
      <alignment horizontal="left" vertical="center"/>
    </xf>
    <xf numFmtId="14" fontId="254" fillId="0" borderId="1" xfId="0" applyNumberFormat="1" applyFont="1" applyBorder="1" applyAlignment="1">
      <alignment horizontal="left" vertical="center"/>
    </xf>
    <xf numFmtId="177" fontId="79" fillId="0" borderId="1" xfId="1" applyNumberFormat="1" applyFont="1" applyFill="1" applyBorder="1" applyAlignment="1" applyProtection="1">
      <alignment vertical="center"/>
      <protection locked="0" hidden="1"/>
    </xf>
    <xf numFmtId="0" fontId="55" fillId="19" borderId="29" xfId="0"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5" fillId="0" borderId="1" xfId="0" applyFont="1" applyBorder="1" applyAlignment="1">
      <alignment horizontal="center" vertical="center"/>
    </xf>
    <xf numFmtId="0" fontId="255" fillId="0" borderId="5" xfId="0" applyFont="1" applyBorder="1" applyAlignment="1">
      <alignment horizontal="center" vertical="center"/>
    </xf>
    <xf numFmtId="0" fontId="255" fillId="0" borderId="54" xfId="0" applyFont="1" applyBorder="1" applyAlignment="1">
      <alignment horizontal="center" vertical="center"/>
    </xf>
    <xf numFmtId="0" fontId="255" fillId="0" borderId="3" xfId="0" applyFont="1" applyBorder="1" applyAlignment="1">
      <alignment horizontal="center" vertical="center"/>
    </xf>
    <xf numFmtId="0" fontId="254" fillId="0" borderId="13" xfId="0" applyFont="1" applyBorder="1" applyAlignment="1">
      <alignment horizontal="center" vertical="center"/>
    </xf>
    <xf numFmtId="0" fontId="254" fillId="0" borderId="15" xfId="0" applyFont="1" applyBorder="1" applyAlignment="1">
      <alignment horizontal="center" vertical="center"/>
    </xf>
    <xf numFmtId="0" fontId="254" fillId="0" borderId="2"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39</xdr:row>
      <xdr:rowOff>57150</xdr:rowOff>
    </xdr:from>
    <xdr:to>
      <xdr:col>8</xdr:col>
      <xdr:colOff>46553</xdr:colOff>
      <xdr:row>73</xdr:row>
      <xdr:rowOff>18286</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7115175"/>
          <a:ext cx="8580953" cy="6114286"/>
        </a:xfrm>
        <a:prstGeom prst="rect">
          <a:avLst/>
        </a:prstGeom>
      </xdr:spPr>
    </xdr:pic>
    <xdr:clientData/>
  </xdr:twoCellAnchor>
  <xdr:twoCellAnchor editAs="oneCell">
    <xdr:from>
      <xdr:col>8</xdr:col>
      <xdr:colOff>180975</xdr:colOff>
      <xdr:row>40</xdr:row>
      <xdr:rowOff>152400</xdr:rowOff>
    </xdr:from>
    <xdr:to>
      <xdr:col>17</xdr:col>
      <xdr:colOff>94490</xdr:colOff>
      <xdr:row>68</xdr:row>
      <xdr:rowOff>132719</xdr:rowOff>
    </xdr:to>
    <xdr:pic>
      <xdr:nvPicPr>
        <xdr:cNvPr id="3" name="图片 2"/>
        <xdr:cNvPicPr>
          <a:picLocks noChangeAspect="1"/>
        </xdr:cNvPicPr>
      </xdr:nvPicPr>
      <xdr:blipFill>
        <a:blip xmlns:r="http://schemas.openxmlformats.org/officeDocument/2006/relationships" r:embed="rId2"/>
        <a:stretch>
          <a:fillRect/>
        </a:stretch>
      </xdr:blipFill>
      <xdr:spPr>
        <a:xfrm>
          <a:off x="8810625" y="7391400"/>
          <a:ext cx="6085715" cy="5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3</xdr:row>
      <xdr:rowOff>9525</xdr:rowOff>
    </xdr:from>
    <xdr:to>
      <xdr:col>11</xdr:col>
      <xdr:colOff>427677</xdr:colOff>
      <xdr:row>41</xdr:row>
      <xdr:rowOff>94425</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523875"/>
          <a:ext cx="7590477" cy="6600000"/>
        </a:xfrm>
        <a:prstGeom prst="rect">
          <a:avLst/>
        </a:prstGeom>
      </xdr:spPr>
    </xdr:pic>
    <xdr:clientData/>
  </xdr:twoCellAnchor>
  <xdr:twoCellAnchor editAs="oneCell">
    <xdr:from>
      <xdr:col>12</xdr:col>
      <xdr:colOff>0</xdr:colOff>
      <xdr:row>3</xdr:row>
      <xdr:rowOff>0</xdr:rowOff>
    </xdr:from>
    <xdr:to>
      <xdr:col>23</xdr:col>
      <xdr:colOff>160962</xdr:colOff>
      <xdr:row>45</xdr:row>
      <xdr:rowOff>170529</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514350"/>
          <a:ext cx="7704762" cy="7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估价对象为北京市房地产，为所有。根据《国有土地使用证》[]，估价对象（分摊）出让国有建设用地使用权面积为78780.76平方米，建筑面积为21395.8平方米。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估价对象为北京市房地产,属开发建设的，该项目尚在开发建设中。根据《国有土地使用证》[]，估价对象（分摊）出让国有建设用地使用权面积为78780.76平方米，规划建筑面积为21395.8平方米。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2021年11月12日</v>
      </c>
    </row>
    <row r="13" spans="1:2" s="1365" customFormat="1">
      <c r="A13" s="1363" t="s">
        <v>1194</v>
      </c>
      <c r="B13" s="1364" t="str">
        <f>'预评函-1'!A18</f>
        <v>本次估价的“房地产价值”是指在正常市场情况下，在价值时点2021年11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27538</v>
      </c>
    </row>
    <row r="21" spans="1:2" s="1365" customFormat="1">
      <c r="A21" s="1363" t="s">
        <v>1202</v>
      </c>
      <c r="B21" s="1364">
        <f ca="1">'预评函-2'!D7</f>
        <v>12871</v>
      </c>
    </row>
    <row r="22" spans="1:2" s="1365" customFormat="1">
      <c r="A22" s="1363" t="s">
        <v>1203</v>
      </c>
      <c r="B22" s="1364" t="str">
        <f ca="1">'预评函-2'!D6</f>
        <v>贰亿柒仟伍佰叁拾捌万元整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27538</v>
      </c>
    </row>
    <row r="31" spans="1:2" s="1365" customFormat="1">
      <c r="A31" s="1363" t="s">
        <v>1241</v>
      </c>
      <c r="B31" s="1364">
        <f ca="1">'预评函-2'!D15</f>
        <v>12871</v>
      </c>
    </row>
    <row r="32" spans="1:2" s="1365" customFormat="1">
      <c r="A32" s="1363" t="s">
        <v>1208</v>
      </c>
      <c r="B32" s="1364" t="str">
        <f ca="1">'预评函-2'!D14</f>
        <v>贰亿柒仟伍佰叁拾捌万元整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21395.8</v>
      </c>
    </row>
    <row r="44" spans="1:2" s="1365" customFormat="1">
      <c r="A44" s="1363" t="s">
        <v>1240</v>
      </c>
      <c r="B44" s="1364" t="str">
        <f>'预评函-3'!C2</f>
        <v>(分摊)土地面积</v>
      </c>
    </row>
    <row r="45" spans="1:2" s="1365" customFormat="1">
      <c r="A45" s="1363" t="s">
        <v>1212</v>
      </c>
      <c r="B45" s="1364">
        <f>'预评函-3'!C4</f>
        <v>78780.759999999995</v>
      </c>
    </row>
    <row r="46" spans="1:2" s="1365" customFormat="1">
      <c r="A46" s="1363" t="s">
        <v>1238</v>
      </c>
      <c r="B46" s="1364" t="str">
        <f>'预评函-3'!D2</f>
        <v>出让国有建设用地使用权价值</v>
      </c>
    </row>
    <row r="47" spans="1:2" s="1365" customFormat="1">
      <c r="A47" s="1363" t="s">
        <v>1213</v>
      </c>
      <c r="B47" s="1364">
        <f ca="1">'预评函-3'!D4</f>
        <v>21893</v>
      </c>
    </row>
    <row r="48" spans="1:2" s="1365" customFormat="1">
      <c r="A48" s="1363" t="s">
        <v>1214</v>
      </c>
      <c r="B48" s="1364">
        <f ca="1">'预评函-3'!E4</f>
        <v>10233</v>
      </c>
    </row>
    <row r="49" spans="1:2" s="1365" customFormat="1">
      <c r="A49" s="1363" t="s">
        <v>1215</v>
      </c>
      <c r="B49" s="1364" t="str">
        <f ca="1">'预评函-3'!D5</f>
        <v>贰亿壹仟捌佰玖拾叁万元整</v>
      </c>
    </row>
    <row r="50" spans="1:2" s="1365" customFormat="1">
      <c r="A50" s="1363" t="s">
        <v>1239</v>
      </c>
      <c r="B50" s="1364" t="str">
        <f>'预评函-3'!F2</f>
        <v>在建建筑物价值</v>
      </c>
    </row>
    <row r="51" spans="1:2" s="1365" customFormat="1">
      <c r="A51" s="1363" t="s">
        <v>1216</v>
      </c>
      <c r="B51" s="1364">
        <f ca="1">'预评函-3'!F4</f>
        <v>5645</v>
      </c>
    </row>
    <row r="52" spans="1:2" s="1365" customFormat="1">
      <c r="A52" s="1363" t="s">
        <v>1217</v>
      </c>
      <c r="B52" s="1364">
        <f ca="1">'预评函-3'!G4</f>
        <v>2638</v>
      </c>
    </row>
    <row r="53" spans="1:2" s="1365" customFormat="1">
      <c r="A53" s="1363" t="s">
        <v>1245</v>
      </c>
      <c r="B53" s="1364" t="str">
        <f ca="1">'预评函-3'!F5</f>
        <v>伍仟陆佰肆拾伍万元整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8" workbookViewId="0">
      <selection activeCell="B19" sqref="B1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3137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9"/>
      <c r="B54" s="1739" t="s">
        <v>832</v>
      </c>
      <c r="C54" s="1736" t="s">
        <v>1248</v>
      </c>
    </row>
    <row r="55" spans="1:4">
      <c r="A55" s="3119"/>
      <c r="B55" s="1739" t="s">
        <v>833</v>
      </c>
      <c r="C55" s="1736" t="s">
        <v>1249</v>
      </c>
    </row>
    <row r="56" spans="1:4">
      <c r="A56" s="3119"/>
      <c r="B56" s="1739" t="s">
        <v>834</v>
      </c>
      <c r="C56" s="1736" t="s">
        <v>1253</v>
      </c>
    </row>
    <row r="57" spans="1:4">
      <c r="A57" s="311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4" sqref="I1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20" t="str">
        <f>IF(B10="北京市","北京市",C10)&amp;F10&amp;IF(结果表!G1="在建","出让国有建设用地使用权及在建建筑物",IF(结果表!G1="土地","出让国有建设用地使用权",))&amp;B9&amp;"预评估"</f>
        <v>北京市房地产抵押价值预评估</v>
      </c>
      <c r="C1" s="3121"/>
      <c r="D1" s="3121"/>
      <c r="E1" s="3121"/>
      <c r="F1" s="3121"/>
      <c r="G1" s="3121"/>
      <c r="H1" s="3121"/>
      <c r="I1" s="3122"/>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c r="C3" s="2598" t="s">
        <v>2917</v>
      </c>
      <c r="D3" s="2597">
        <v>44512</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3065</v>
      </c>
      <c r="C8" s="2614"/>
      <c r="D8" s="3123" t="s">
        <v>2923</v>
      </c>
      <c r="E8" s="2615" t="s">
        <v>3066</v>
      </c>
      <c r="F8" s="2616"/>
      <c r="G8" s="2890"/>
      <c r="H8" s="2890"/>
      <c r="I8" s="2890"/>
      <c r="J8" s="2665"/>
      <c r="K8" s="2840"/>
      <c r="L8" s="2839"/>
      <c r="M8" s="2839"/>
      <c r="N8" s="2665"/>
      <c r="O8" s="2676"/>
      <c r="P8" s="2665"/>
      <c r="Q8" s="2665"/>
      <c r="R8" s="2665"/>
    </row>
    <row r="9" spans="1:28" ht="13.5" thickBot="1">
      <c r="A9" s="2617" t="s">
        <v>2924</v>
      </c>
      <c r="B9" s="2618" t="s">
        <v>3066</v>
      </c>
      <c r="C9" s="2619"/>
      <c r="D9" s="3124"/>
      <c r="E9" s="2618"/>
      <c r="F9" s="2620"/>
      <c r="G9" s="2892"/>
      <c r="H9" s="2892"/>
      <c r="I9" s="2892"/>
      <c r="J9" s="2665"/>
      <c r="K9" s="2842"/>
      <c r="L9" s="2839"/>
      <c r="M9" s="2839"/>
      <c r="N9" s="2665"/>
      <c r="O9" s="2676"/>
      <c r="P9" s="2665"/>
      <c r="Q9" s="2665"/>
      <c r="R9" s="2665"/>
    </row>
    <row r="10" spans="1:28" ht="13.5" thickTop="1">
      <c r="A10" s="2621" t="s">
        <v>2925</v>
      </c>
      <c r="B10" s="2622" t="s">
        <v>3067</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3068</v>
      </c>
      <c r="C11" s="2627"/>
      <c r="D11" s="2628"/>
      <c r="E11" s="2594"/>
      <c r="F11" s="2594"/>
      <c r="G11" s="2594"/>
      <c r="H11" s="2594"/>
      <c r="I11" s="2594"/>
      <c r="J11" s="2665"/>
      <c r="K11" s="2842"/>
      <c r="L11" s="2839"/>
      <c r="M11" s="2839"/>
      <c r="N11" s="2665"/>
      <c r="O11" s="2676"/>
      <c r="P11" s="2665"/>
      <c r="Q11" s="2665"/>
      <c r="R11" s="2665"/>
    </row>
    <row r="12" spans="1:28">
      <c r="A12" s="2629" t="s">
        <v>2928</v>
      </c>
      <c r="B12" s="2626" t="s">
        <v>3069</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c r="G13" s="965"/>
      <c r="H13" s="965"/>
      <c r="I13" s="965">
        <f>清单!G5</f>
        <v>57551</v>
      </c>
      <c r="J13" s="2665"/>
      <c r="K13" s="2842"/>
      <c r="L13" s="2839"/>
      <c r="M13" s="2839"/>
      <c r="N13" s="2665"/>
      <c r="O13" s="2676"/>
      <c r="P13" s="2665"/>
      <c r="Q13" s="2665"/>
      <c r="R13" s="2665"/>
    </row>
    <row r="14" spans="1:28">
      <c r="A14" s="1241"/>
      <c r="B14" s="2631"/>
      <c r="C14" s="2632" t="s">
        <v>2937</v>
      </c>
      <c r="D14" s="2633"/>
      <c r="E14" s="2633"/>
      <c r="F14" s="2633"/>
      <c r="G14" s="2633"/>
      <c r="H14" s="2633"/>
      <c r="I14" s="2633">
        <v>50</v>
      </c>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35.72</v>
      </c>
      <c r="J15" s="2665"/>
      <c r="K15" s="2844"/>
      <c r="L15" s="2677"/>
      <c r="M15" s="2677"/>
      <c r="N15" s="2735"/>
      <c r="O15" s="2677"/>
      <c r="P15" s="2735"/>
      <c r="Q15" s="2665"/>
      <c r="R15" s="2665"/>
    </row>
    <row r="16" spans="1:28">
      <c r="A16" s="2624" t="s">
        <v>2939</v>
      </c>
      <c r="B16" s="3130"/>
      <c r="C16" s="3131"/>
      <c r="D16" s="3132"/>
      <c r="E16" s="2639" t="s">
        <v>2940</v>
      </c>
      <c r="F16" s="3133"/>
      <c r="G16" s="3134"/>
      <c r="H16" s="3134"/>
      <c r="I16" s="3135"/>
      <c r="J16" s="2665"/>
      <c r="K16" s="2844"/>
      <c r="L16" s="2677"/>
      <c r="M16" s="2677"/>
      <c r="N16" s="2735"/>
      <c r="O16" s="2677"/>
      <c r="P16" s="2735"/>
      <c r="Q16" s="2665"/>
      <c r="R16" s="2665"/>
    </row>
    <row r="17" spans="1:28">
      <c r="A17" s="319" t="s">
        <v>2941</v>
      </c>
      <c r="B17" s="308" t="s">
        <v>2942</v>
      </c>
      <c r="C17" s="11">
        <f>'数据-汇总表'!E3</f>
        <v>21395.8</v>
      </c>
      <c r="D17" s="2545" t="s">
        <v>2943</v>
      </c>
      <c r="E17" s="3136" t="s">
        <v>2944</v>
      </c>
      <c r="F17" s="3137"/>
      <c r="G17" s="3137"/>
      <c r="H17" s="3137"/>
      <c r="I17" s="3138"/>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78780.759999999995</v>
      </c>
      <c r="D18" s="1252" t="s">
        <v>2947</v>
      </c>
      <c r="E18" s="3139" t="s">
        <v>2948</v>
      </c>
      <c r="F18" s="3140"/>
      <c r="G18" s="3140"/>
      <c r="H18" s="3140"/>
      <c r="I18" s="3141"/>
      <c r="J18" s="2665"/>
      <c r="K18" s="2845"/>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26" t="s">
        <v>2952</v>
      </c>
      <c r="C20" s="3127"/>
      <c r="D20" s="3128" t="s">
        <v>2953</v>
      </c>
      <c r="E20" s="3129"/>
      <c r="F20" s="2874" t="s">
        <v>1742</v>
      </c>
      <c r="G20" s="2891"/>
      <c r="H20" s="2891"/>
      <c r="I20" s="2891"/>
      <c r="J20" s="2665"/>
      <c r="K20" s="3125"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2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2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43" t="s">
        <v>2960</v>
      </c>
      <c r="B27" s="326" t="s">
        <v>2961</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43"/>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43"/>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44"/>
      <c r="B30" s="308" t="s">
        <v>2964</v>
      </c>
      <c r="C30" s="3145"/>
      <c r="D30" s="3146"/>
      <c r="E30" s="2891"/>
      <c r="F30" s="2891"/>
      <c r="G30" s="2891"/>
      <c r="H30" s="2891"/>
      <c r="I30" s="2891"/>
      <c r="J30" s="2665"/>
      <c r="K30" s="2842"/>
      <c r="L30" s="2839"/>
      <c r="M30" s="2839"/>
      <c r="N30" s="2665"/>
      <c r="O30" s="2676"/>
      <c r="P30" s="2665"/>
      <c r="Q30" s="2665"/>
      <c r="R30" s="2665"/>
      <c r="S30" s="2665"/>
      <c r="T30" s="2665"/>
      <c r="U30" s="2665"/>
      <c r="V30" s="2665"/>
    </row>
    <row r="31" spans="1:28">
      <c r="A31" s="3147"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48"/>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48"/>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142" t="s">
        <v>2974</v>
      </c>
      <c r="T34" s="2654" t="str">
        <f>NUMBERSTRING(7-K34,1)&amp;"通"</f>
        <v>七通</v>
      </c>
      <c r="U34" s="2665"/>
      <c r="V34" s="2665"/>
    </row>
    <row r="35" spans="1:30">
      <c r="A35" s="2655"/>
      <c r="B35" s="3149" t="s">
        <v>2975</v>
      </c>
      <c r="C35" s="3149"/>
      <c r="D35" s="3149"/>
      <c r="E35" s="3149"/>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2"/>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c r="D37" s="2657"/>
      <c r="E37" s="2657" t="s">
        <v>56</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c r="D38" s="2658"/>
      <c r="E38" s="2658" t="s">
        <v>3070</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清单!F6</f>
        <v>78780.760000000009</v>
      </c>
      <c r="B3" s="14">
        <f>IF(C3="否",G5-AT5,G5)</f>
        <v>21395.8</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21395.8</v>
      </c>
      <c r="H5" s="16">
        <f t="shared" ref="H5:AT5" si="0">SUM(H13:H656)</f>
        <v>21395.8</v>
      </c>
      <c r="I5" s="16">
        <f t="shared" si="0"/>
        <v>21395.8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21395.8</v>
      </c>
      <c r="BA5" s="18">
        <f t="shared" si="1"/>
        <v>21395.8</v>
      </c>
      <c r="BB5" s="18">
        <f t="shared" si="1"/>
        <v>21395.8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78780.759999999995</v>
      </c>
      <c r="F6" s="16" t="s">
        <v>1</v>
      </c>
      <c r="G6" s="16" t="s">
        <v>2</v>
      </c>
      <c r="H6" s="20">
        <f>SUMIF(I$12:AB$12,"总值",I6:AB6)</f>
        <v>78780.759999999995</v>
      </c>
      <c r="I6" s="16">
        <f t="shared" ref="I6:AB6" si="2">ROUND($A$3*I5/$B$3,2)</f>
        <v>78780.759999999995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78780.759999999995</v>
      </c>
      <c r="AZ6" s="16" t="s">
        <v>3</v>
      </c>
      <c r="BA6" s="16">
        <f>ROUND($AY$6*BA5/$AZ$5,2)</f>
        <v>78780.759999999995</v>
      </c>
      <c r="BB6" s="16">
        <f>ROUND($AY$6*BB5/$AZ$5,2)</f>
        <v>78780.759999999995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3098</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3099</v>
      </c>
      <c r="E13" s="16">
        <f>IF($C$3="是",ROUND($A$3*G13/$B$3,2),ROUND($A$3*(G13-AT13)/$B$3,2))</f>
        <v>78780.759999999995</v>
      </c>
      <c r="F13" s="32"/>
      <c r="G13" s="33">
        <f>H13+AC13+AT13</f>
        <v>21395.8</v>
      </c>
      <c r="H13" s="20">
        <f>SUMIF(I$12:AB$12,"总值",I13:AB13)</f>
        <v>21395.8</v>
      </c>
      <c r="I13" s="1811">
        <f>清单!F35</f>
        <v>21395.8</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78780.759999999995</v>
      </c>
      <c r="AZ13" s="16">
        <f>BA13+BL13</f>
        <v>21395.8</v>
      </c>
      <c r="BA13" s="16">
        <f>SUM(BB13:BK13)</f>
        <v>21395.8</v>
      </c>
      <c r="BB13" s="16">
        <f>IF($D13="是",I13-J13,0)</f>
        <v>21395.8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0" t="s">
        <v>0</v>
      </c>
      <c r="B1" s="3150" t="s">
        <v>4</v>
      </c>
      <c r="C1" s="3150" t="s">
        <v>5</v>
      </c>
      <c r="D1" s="3151" t="s">
        <v>53</v>
      </c>
      <c r="E1" s="3151" t="s">
        <v>54</v>
      </c>
      <c r="F1" s="3151"/>
      <c r="G1" s="3151"/>
      <c r="H1" s="3151"/>
      <c r="I1" s="3151"/>
      <c r="J1" s="3151"/>
      <c r="K1" s="3151"/>
      <c r="L1" s="3151"/>
      <c r="M1" s="3151"/>
    </row>
    <row r="2" spans="1:13" ht="27" customHeight="1">
      <c r="A2" s="3150"/>
      <c r="B2" s="3150"/>
      <c r="C2" s="3150"/>
      <c r="D2" s="3151"/>
      <c r="E2" s="3151" t="s">
        <v>37</v>
      </c>
      <c r="F2" s="3151" t="s">
        <v>38</v>
      </c>
      <c r="G2" s="3151"/>
      <c r="H2" s="3151"/>
      <c r="I2" s="3151"/>
      <c r="J2" s="3151" t="s">
        <v>39</v>
      </c>
      <c r="K2" s="3151"/>
      <c r="L2" s="3151"/>
      <c r="M2" s="3151"/>
    </row>
    <row r="3" spans="1:13" ht="28.5">
      <c r="A3" s="3150"/>
      <c r="B3" s="3150"/>
      <c r="C3" s="3150"/>
      <c r="D3" s="3151"/>
      <c r="E3" s="31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1" t="s">
        <v>55</v>
      </c>
      <c r="B9" s="3151"/>
      <c r="C9" s="31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zoomScale="80" zoomScaleNormal="80" workbookViewId="0">
      <selection activeCell="M31" sqref="M31"/>
    </sheetView>
  </sheetViews>
  <sheetFormatPr defaultColWidth="9" defaultRowHeight="14.25"/>
  <cols>
    <col min="1" max="1" width="5.125" style="3072" customWidth="1"/>
    <col min="2" max="2" width="23.375" style="3072" customWidth="1"/>
    <col min="3" max="3" width="22.375" style="3072" customWidth="1"/>
    <col min="4" max="4" width="26.125" style="3072" customWidth="1"/>
    <col min="5" max="5" width="10.125" style="3072" customWidth="1"/>
    <col min="6" max="6" width="8.125" style="3072" customWidth="1"/>
    <col min="7" max="7" width="9" style="3072" customWidth="1"/>
    <col min="8" max="16384" width="9" style="3072"/>
  </cols>
  <sheetData>
    <row r="1" spans="1:11">
      <c r="A1" s="3152" t="s">
        <v>3071</v>
      </c>
      <c r="B1" s="3152"/>
      <c r="C1" s="3152"/>
      <c r="D1" s="3152"/>
      <c r="E1" s="3152"/>
      <c r="F1" s="3152"/>
      <c r="G1" s="3152"/>
    </row>
    <row r="2" spans="1:11">
      <c r="A2" s="3073" t="s">
        <v>3072</v>
      </c>
      <c r="B2" s="3073" t="s">
        <v>3073</v>
      </c>
      <c r="C2" s="3073" t="s">
        <v>3075</v>
      </c>
      <c r="D2" s="3073"/>
      <c r="E2" s="3073" t="s">
        <v>3078</v>
      </c>
      <c r="F2" s="3073" t="s">
        <v>3074</v>
      </c>
      <c r="G2" s="3073" t="s">
        <v>3080</v>
      </c>
    </row>
    <row r="3" spans="1:11">
      <c r="A3" s="3073">
        <v>1</v>
      </c>
      <c r="B3" s="3073" t="s">
        <v>3081</v>
      </c>
      <c r="C3" s="3073" t="s">
        <v>3077</v>
      </c>
      <c r="D3" s="3073" t="s">
        <v>3131</v>
      </c>
      <c r="E3" s="3073" t="s">
        <v>3079</v>
      </c>
      <c r="F3" s="3073">
        <v>4721.3</v>
      </c>
      <c r="G3" s="3074">
        <v>54266</v>
      </c>
    </row>
    <row r="4" spans="1:11">
      <c r="A4" s="3073">
        <v>2</v>
      </c>
      <c r="B4" s="3073" t="s">
        <v>3082</v>
      </c>
      <c r="C4" s="3073" t="s">
        <v>3077</v>
      </c>
      <c r="D4" s="3073" t="s">
        <v>3131</v>
      </c>
      <c r="E4" s="3073" t="s">
        <v>3079</v>
      </c>
      <c r="F4" s="3073">
        <v>2600.13</v>
      </c>
      <c r="G4" s="3074">
        <v>54266</v>
      </c>
    </row>
    <row r="5" spans="1:11">
      <c r="A5" s="3073">
        <v>3</v>
      </c>
      <c r="B5" s="3073" t="s">
        <v>3076</v>
      </c>
      <c r="C5" s="3073" t="s">
        <v>3077</v>
      </c>
      <c r="D5" s="3073" t="s">
        <v>3131</v>
      </c>
      <c r="E5" s="3073" t="s">
        <v>3079</v>
      </c>
      <c r="F5" s="3073">
        <v>71459.33</v>
      </c>
      <c r="G5" s="3074">
        <v>57551</v>
      </c>
    </row>
    <row r="6" spans="1:11">
      <c r="A6" s="3073" t="s">
        <v>3083</v>
      </c>
      <c r="B6" s="3073"/>
      <c r="C6" s="3073"/>
      <c r="D6" s="3073"/>
      <c r="E6" s="3073"/>
      <c r="F6" s="3073">
        <f>SUM(F3:F5)</f>
        <v>78780.760000000009</v>
      </c>
      <c r="G6" s="3073"/>
    </row>
    <row r="8" spans="1:11">
      <c r="A8" s="3153" t="s">
        <v>3084</v>
      </c>
      <c r="B8" s="3154"/>
      <c r="C8" s="3154"/>
      <c r="D8" s="3154"/>
      <c r="E8" s="3154"/>
      <c r="F8" s="3154"/>
      <c r="G8" s="3154"/>
      <c r="H8" s="3154"/>
      <c r="I8" s="3155"/>
    </row>
    <row r="9" spans="1:11">
      <c r="A9" s="3073" t="s">
        <v>3072</v>
      </c>
      <c r="B9" s="3073" t="s">
        <v>3085</v>
      </c>
      <c r="C9" s="3073" t="s">
        <v>3087</v>
      </c>
      <c r="D9" s="3073" t="s">
        <v>3088</v>
      </c>
      <c r="E9" s="3073" t="s">
        <v>3090</v>
      </c>
      <c r="F9" s="3073" t="s">
        <v>3095</v>
      </c>
      <c r="G9" s="3073" t="s">
        <v>3091</v>
      </c>
      <c r="H9" s="3073" t="s">
        <v>3092</v>
      </c>
      <c r="I9" s="3073" t="s">
        <v>3094</v>
      </c>
      <c r="J9" s="3072" t="s">
        <v>3097</v>
      </c>
      <c r="K9" s="3072" t="s">
        <v>3104</v>
      </c>
    </row>
    <row r="10" spans="1:11">
      <c r="A10" s="3073">
        <v>1</v>
      </c>
      <c r="B10" s="3156" t="s">
        <v>3086</v>
      </c>
      <c r="C10" s="3156" t="s">
        <v>3077</v>
      </c>
      <c r="D10" s="3156" t="s">
        <v>3134</v>
      </c>
      <c r="E10" s="3073">
        <v>1</v>
      </c>
      <c r="F10" s="3073">
        <v>18.100000000000001</v>
      </c>
      <c r="G10" s="3073">
        <v>1</v>
      </c>
      <c r="H10" s="3073" t="s">
        <v>3093</v>
      </c>
      <c r="I10" s="3073">
        <v>1991</v>
      </c>
      <c r="J10" s="3072">
        <f>ROUND(1-(1-2%)*(2021-I10)/50,2)</f>
        <v>0.41</v>
      </c>
      <c r="K10" s="3072">
        <v>1.8</v>
      </c>
    </row>
    <row r="11" spans="1:11">
      <c r="A11" s="3073">
        <v>2</v>
      </c>
      <c r="B11" s="3157"/>
      <c r="C11" s="3157"/>
      <c r="D11" s="3157"/>
      <c r="E11" s="3073">
        <v>2</v>
      </c>
      <c r="F11" s="3073">
        <v>210.9</v>
      </c>
      <c r="G11" s="3073">
        <v>1</v>
      </c>
      <c r="H11" s="3073" t="s">
        <v>3093</v>
      </c>
      <c r="I11" s="3073">
        <v>1991</v>
      </c>
      <c r="J11" s="3072">
        <f t="shared" ref="J11:J34" si="0">ROUND(1-(1-2%)*(2021-I11)/50,2)</f>
        <v>0.41</v>
      </c>
      <c r="K11" s="3072">
        <f>K10</f>
        <v>1.8</v>
      </c>
    </row>
    <row r="12" spans="1:11">
      <c r="A12" s="3073">
        <v>3</v>
      </c>
      <c r="B12" s="3157"/>
      <c r="C12" s="3157"/>
      <c r="D12" s="3157"/>
      <c r="E12" s="3073">
        <v>3</v>
      </c>
      <c r="F12" s="3073">
        <v>227.3</v>
      </c>
      <c r="G12" s="3073">
        <v>1</v>
      </c>
      <c r="H12" s="3073" t="s">
        <v>3093</v>
      </c>
      <c r="I12" s="3073">
        <v>1991</v>
      </c>
      <c r="J12" s="3072">
        <f t="shared" si="0"/>
        <v>0.41</v>
      </c>
      <c r="K12" s="3072">
        <f>K10</f>
        <v>1.8</v>
      </c>
    </row>
    <row r="13" spans="1:11">
      <c r="A13" s="3073">
        <v>4</v>
      </c>
      <c r="B13" s="3157"/>
      <c r="C13" s="3157"/>
      <c r="D13" s="3157"/>
      <c r="E13" s="3073">
        <v>4</v>
      </c>
      <c r="F13" s="3073">
        <v>100.5</v>
      </c>
      <c r="G13" s="3073">
        <v>1</v>
      </c>
      <c r="H13" s="3073" t="s">
        <v>3093</v>
      </c>
      <c r="I13" s="3073">
        <v>1992</v>
      </c>
      <c r="J13" s="3072">
        <f t="shared" si="0"/>
        <v>0.43</v>
      </c>
      <c r="K13" s="3072">
        <f>K10</f>
        <v>1.8</v>
      </c>
    </row>
    <row r="14" spans="1:11">
      <c r="A14" s="3073">
        <v>5</v>
      </c>
      <c r="B14" s="3157"/>
      <c r="C14" s="3157"/>
      <c r="D14" s="3157"/>
      <c r="E14" s="3073">
        <v>5</v>
      </c>
      <c r="F14" s="3073">
        <v>296.39999999999998</v>
      </c>
      <c r="G14" s="3073">
        <v>1</v>
      </c>
      <c r="H14" s="3073" t="s">
        <v>3093</v>
      </c>
      <c r="I14" s="3073">
        <v>1991</v>
      </c>
      <c r="J14" s="3072">
        <f t="shared" si="0"/>
        <v>0.41</v>
      </c>
      <c r="K14" s="3072">
        <f>K10</f>
        <v>1.8</v>
      </c>
    </row>
    <row r="15" spans="1:11">
      <c r="A15" s="3073">
        <v>6</v>
      </c>
      <c r="B15" s="3157"/>
      <c r="C15" s="3157"/>
      <c r="D15" s="3157"/>
      <c r="E15" s="3073">
        <v>6</v>
      </c>
      <c r="F15" s="3073">
        <v>1846.1</v>
      </c>
      <c r="G15" s="3073">
        <v>1</v>
      </c>
      <c r="H15" s="3073" t="s">
        <v>3093</v>
      </c>
      <c r="I15" s="3073">
        <v>1990</v>
      </c>
      <c r="J15" s="3072">
        <f t="shared" si="0"/>
        <v>0.39</v>
      </c>
      <c r="K15" s="3072">
        <f>K10</f>
        <v>1.8</v>
      </c>
    </row>
    <row r="16" spans="1:11">
      <c r="A16" s="3073">
        <v>7</v>
      </c>
      <c r="B16" s="3157"/>
      <c r="C16" s="3157"/>
      <c r="D16" s="3157"/>
      <c r="E16" s="3073">
        <v>7</v>
      </c>
      <c r="F16" s="3073">
        <v>1349.8</v>
      </c>
      <c r="G16" s="3073">
        <v>3</v>
      </c>
      <c r="H16" s="3073" t="s">
        <v>3093</v>
      </c>
      <c r="I16" s="3073">
        <v>1992</v>
      </c>
      <c r="J16" s="3072">
        <f t="shared" si="0"/>
        <v>0.43</v>
      </c>
      <c r="K16" s="3072">
        <v>2.6</v>
      </c>
    </row>
    <row r="17" spans="1:11">
      <c r="A17" s="3073">
        <v>8</v>
      </c>
      <c r="B17" s="3157"/>
      <c r="C17" s="3157"/>
      <c r="D17" s="3157"/>
      <c r="E17" s="3073">
        <v>8</v>
      </c>
      <c r="F17" s="3073">
        <v>18.7</v>
      </c>
      <c r="G17" s="3073">
        <v>1</v>
      </c>
      <c r="H17" s="3073" t="s">
        <v>3093</v>
      </c>
      <c r="I17" s="3073">
        <v>1991</v>
      </c>
      <c r="J17" s="3072">
        <f t="shared" si="0"/>
        <v>0.41</v>
      </c>
      <c r="K17" s="3072">
        <f>K10</f>
        <v>1.8</v>
      </c>
    </row>
    <row r="18" spans="1:11">
      <c r="A18" s="3073">
        <v>9</v>
      </c>
      <c r="B18" s="3157"/>
      <c r="C18" s="3157"/>
      <c r="D18" s="3157"/>
      <c r="E18" s="3073">
        <v>9</v>
      </c>
      <c r="F18" s="3073">
        <v>18.5</v>
      </c>
      <c r="G18" s="3073">
        <v>1</v>
      </c>
      <c r="H18" s="3073" t="s">
        <v>3093</v>
      </c>
      <c r="I18" s="3073">
        <v>1991</v>
      </c>
      <c r="J18" s="3072">
        <f t="shared" si="0"/>
        <v>0.41</v>
      </c>
      <c r="K18" s="3072">
        <f>K10</f>
        <v>1.8</v>
      </c>
    </row>
    <row r="19" spans="1:11">
      <c r="A19" s="3073">
        <v>10</v>
      </c>
      <c r="B19" s="3157"/>
      <c r="C19" s="3157"/>
      <c r="D19" s="3157"/>
      <c r="E19" s="3073">
        <v>10</v>
      </c>
      <c r="F19" s="3073">
        <v>18.899999999999999</v>
      </c>
      <c r="G19" s="3073">
        <v>1</v>
      </c>
      <c r="H19" s="3073" t="s">
        <v>3093</v>
      </c>
      <c r="I19" s="3073">
        <v>1991</v>
      </c>
      <c r="J19" s="3072">
        <f t="shared" si="0"/>
        <v>0.41</v>
      </c>
      <c r="K19" s="3072">
        <f>K10</f>
        <v>1.8</v>
      </c>
    </row>
    <row r="20" spans="1:11">
      <c r="A20" s="3073">
        <v>11</v>
      </c>
      <c r="B20" s="3157"/>
      <c r="C20" s="3157"/>
      <c r="D20" s="3157"/>
      <c r="E20" s="3073">
        <v>11</v>
      </c>
      <c r="F20" s="3073">
        <v>2605</v>
      </c>
      <c r="G20" s="3073">
        <v>3</v>
      </c>
      <c r="H20" s="3073" t="s">
        <v>3093</v>
      </c>
      <c r="I20" s="3073">
        <v>1990</v>
      </c>
      <c r="J20" s="3072">
        <f t="shared" si="0"/>
        <v>0.39</v>
      </c>
      <c r="K20" s="3072">
        <f>K16</f>
        <v>2.6</v>
      </c>
    </row>
    <row r="21" spans="1:11">
      <c r="A21" s="3073">
        <v>12</v>
      </c>
      <c r="B21" s="3157"/>
      <c r="C21" s="3157"/>
      <c r="D21" s="3157"/>
      <c r="E21" s="3073">
        <v>12</v>
      </c>
      <c r="F21" s="3073">
        <v>1484</v>
      </c>
      <c r="G21" s="3073">
        <v>4</v>
      </c>
      <c r="H21" s="3073" t="s">
        <v>3093</v>
      </c>
      <c r="I21" s="3073">
        <v>1991</v>
      </c>
      <c r="J21" s="3072">
        <f t="shared" si="0"/>
        <v>0.41</v>
      </c>
      <c r="K21" s="3072">
        <f>K16</f>
        <v>2.6</v>
      </c>
    </row>
    <row r="22" spans="1:11">
      <c r="A22" s="3073">
        <v>13</v>
      </c>
      <c r="B22" s="3157"/>
      <c r="C22" s="3157"/>
      <c r="D22" s="3157"/>
      <c r="E22" s="3073">
        <v>13</v>
      </c>
      <c r="F22" s="3073">
        <v>780.1</v>
      </c>
      <c r="G22" s="3073">
        <v>2</v>
      </c>
      <c r="H22" s="3073" t="s">
        <v>3093</v>
      </c>
      <c r="I22" s="3073">
        <v>1991</v>
      </c>
      <c r="J22" s="3072">
        <f t="shared" si="0"/>
        <v>0.41</v>
      </c>
      <c r="K22" s="3072">
        <f>K16</f>
        <v>2.6</v>
      </c>
    </row>
    <row r="23" spans="1:11">
      <c r="A23" s="3073">
        <v>14</v>
      </c>
      <c r="B23" s="3157"/>
      <c r="C23" s="3157"/>
      <c r="D23" s="3157"/>
      <c r="E23" s="3073">
        <v>14</v>
      </c>
      <c r="F23" s="3073">
        <v>34.6</v>
      </c>
      <c r="G23" s="3073">
        <v>1</v>
      </c>
      <c r="H23" s="3073" t="s">
        <v>3093</v>
      </c>
      <c r="I23" s="3073">
        <v>1993</v>
      </c>
      <c r="J23" s="3072">
        <f t="shared" si="0"/>
        <v>0.45</v>
      </c>
      <c r="K23" s="3072">
        <f>K10</f>
        <v>1.8</v>
      </c>
    </row>
    <row r="24" spans="1:11">
      <c r="A24" s="3073">
        <v>15</v>
      </c>
      <c r="B24" s="3157"/>
      <c r="C24" s="3157"/>
      <c r="D24" s="3157"/>
      <c r="E24" s="3073">
        <v>15</v>
      </c>
      <c r="F24" s="3073">
        <v>1846.1</v>
      </c>
      <c r="G24" s="3073">
        <v>1</v>
      </c>
      <c r="H24" s="3073" t="s">
        <v>3093</v>
      </c>
      <c r="I24" s="3073">
        <v>1990</v>
      </c>
      <c r="J24" s="3072">
        <f t="shared" si="0"/>
        <v>0.39</v>
      </c>
      <c r="K24" s="3072">
        <f>K10</f>
        <v>1.8</v>
      </c>
    </row>
    <row r="25" spans="1:11">
      <c r="A25" s="3073">
        <v>16</v>
      </c>
      <c r="B25" s="3157"/>
      <c r="C25" s="3157"/>
      <c r="D25" s="3157"/>
      <c r="E25" s="3073">
        <v>16</v>
      </c>
      <c r="F25" s="3073">
        <v>16.8</v>
      </c>
      <c r="G25" s="3073">
        <v>1</v>
      </c>
      <c r="H25" s="3073" t="s">
        <v>3093</v>
      </c>
      <c r="I25" s="3073">
        <v>1993</v>
      </c>
      <c r="J25" s="3072">
        <f t="shared" si="0"/>
        <v>0.45</v>
      </c>
      <c r="K25" s="3072">
        <f>K10</f>
        <v>1.8</v>
      </c>
    </row>
    <row r="26" spans="1:11">
      <c r="A26" s="3073">
        <v>17</v>
      </c>
      <c r="B26" s="3157"/>
      <c r="C26" s="3157"/>
      <c r="D26" s="3157"/>
      <c r="E26" s="3073">
        <v>17</v>
      </c>
      <c r="F26" s="3073">
        <v>4901</v>
      </c>
      <c r="G26" s="3073">
        <v>4</v>
      </c>
      <c r="H26" s="3073" t="s">
        <v>3093</v>
      </c>
      <c r="I26" s="3073">
        <v>1992</v>
      </c>
      <c r="J26" s="3072">
        <f t="shared" si="0"/>
        <v>0.43</v>
      </c>
      <c r="K26" s="3072">
        <f>K16</f>
        <v>2.6</v>
      </c>
    </row>
    <row r="27" spans="1:11">
      <c r="A27" s="3073">
        <v>18</v>
      </c>
      <c r="B27" s="3157"/>
      <c r="C27" s="3157"/>
      <c r="D27" s="3157"/>
      <c r="E27" s="3073">
        <v>18</v>
      </c>
      <c r="F27" s="3073">
        <v>26.6</v>
      </c>
      <c r="G27" s="3073">
        <v>1</v>
      </c>
      <c r="H27" s="3073" t="s">
        <v>3093</v>
      </c>
      <c r="I27" s="3073">
        <v>1993</v>
      </c>
      <c r="J27" s="3072">
        <f t="shared" si="0"/>
        <v>0.45</v>
      </c>
      <c r="K27" s="3072">
        <f>K10</f>
        <v>1.8</v>
      </c>
    </row>
    <row r="28" spans="1:11">
      <c r="A28" s="3073">
        <v>19</v>
      </c>
      <c r="B28" s="3157"/>
      <c r="C28" s="3157"/>
      <c r="D28" s="3157"/>
      <c r="E28" s="3073">
        <v>19</v>
      </c>
      <c r="F28" s="3073">
        <v>1728.8</v>
      </c>
      <c r="G28" s="3073">
        <v>5</v>
      </c>
      <c r="H28" s="3073" t="s">
        <v>3093</v>
      </c>
      <c r="I28" s="3073">
        <v>1991</v>
      </c>
      <c r="J28" s="3072">
        <f t="shared" si="0"/>
        <v>0.41</v>
      </c>
      <c r="K28" s="3072">
        <f>K16</f>
        <v>2.6</v>
      </c>
    </row>
    <row r="29" spans="1:11">
      <c r="A29" s="3073">
        <v>20</v>
      </c>
      <c r="B29" s="3157"/>
      <c r="C29" s="3157"/>
      <c r="D29" s="3157"/>
      <c r="E29" s="3073">
        <v>20</v>
      </c>
      <c r="F29" s="3073">
        <v>1912.1</v>
      </c>
      <c r="G29" s="3073">
        <v>3</v>
      </c>
      <c r="H29" s="3073" t="s">
        <v>3093</v>
      </c>
      <c r="I29" s="3073">
        <v>1991</v>
      </c>
      <c r="J29" s="3072">
        <f t="shared" si="0"/>
        <v>0.41</v>
      </c>
      <c r="K29" s="3072">
        <f>K16</f>
        <v>2.6</v>
      </c>
    </row>
    <row r="30" spans="1:11">
      <c r="A30" s="3073">
        <v>21</v>
      </c>
      <c r="B30" s="3157"/>
      <c r="C30" s="3157"/>
      <c r="D30" s="3157"/>
      <c r="E30" s="3073">
        <v>21</v>
      </c>
      <c r="F30" s="3073">
        <v>69.400000000000006</v>
      </c>
      <c r="G30" s="3073">
        <v>1</v>
      </c>
      <c r="H30" s="3073" t="s">
        <v>3093</v>
      </c>
      <c r="I30" s="3073">
        <v>1991</v>
      </c>
      <c r="J30" s="3072">
        <f t="shared" si="0"/>
        <v>0.41</v>
      </c>
      <c r="K30" s="3072">
        <f>K10</f>
        <v>1.8</v>
      </c>
    </row>
    <row r="31" spans="1:11">
      <c r="A31" s="3073">
        <v>22</v>
      </c>
      <c r="B31" s="3157"/>
      <c r="C31" s="3157"/>
      <c r="D31" s="3157"/>
      <c r="E31" s="3073">
        <v>22</v>
      </c>
      <c r="F31" s="3073">
        <v>14.7</v>
      </c>
      <c r="G31" s="3073">
        <v>1</v>
      </c>
      <c r="H31" s="3073" t="s">
        <v>3093</v>
      </c>
      <c r="I31" s="3073">
        <v>1993</v>
      </c>
      <c r="J31" s="3072">
        <f t="shared" si="0"/>
        <v>0.45</v>
      </c>
      <c r="K31" s="3072">
        <f>K10</f>
        <v>1.8</v>
      </c>
    </row>
    <row r="32" spans="1:11">
      <c r="A32" s="3073">
        <v>23</v>
      </c>
      <c r="B32" s="3157"/>
      <c r="C32" s="3157"/>
      <c r="D32" s="3157"/>
      <c r="E32" s="3073">
        <v>23</v>
      </c>
      <c r="F32" s="3073">
        <v>77.099999999999994</v>
      </c>
      <c r="G32" s="3073">
        <v>1</v>
      </c>
      <c r="H32" s="3073" t="s">
        <v>3093</v>
      </c>
      <c r="I32" s="3073">
        <v>1993</v>
      </c>
      <c r="J32" s="3072">
        <f t="shared" si="0"/>
        <v>0.45</v>
      </c>
      <c r="K32" s="3072">
        <f>K10</f>
        <v>1.8</v>
      </c>
    </row>
    <row r="33" spans="1:11">
      <c r="A33" s="3073">
        <v>24</v>
      </c>
      <c r="B33" s="3157"/>
      <c r="C33" s="3157"/>
      <c r="D33" s="3157"/>
      <c r="E33" s="3073">
        <v>24</v>
      </c>
      <c r="F33" s="3073">
        <v>187</v>
      </c>
      <c r="G33" s="3073">
        <v>1</v>
      </c>
      <c r="H33" s="3073" t="s">
        <v>3093</v>
      </c>
      <c r="I33" s="3073">
        <v>1992</v>
      </c>
      <c r="J33" s="3072">
        <f t="shared" si="0"/>
        <v>0.43</v>
      </c>
      <c r="K33" s="3072">
        <f>K10</f>
        <v>1.8</v>
      </c>
    </row>
    <row r="34" spans="1:11">
      <c r="A34" s="3073">
        <v>25</v>
      </c>
      <c r="B34" s="3158"/>
      <c r="C34" s="3158"/>
      <c r="D34" s="3158"/>
      <c r="E34" s="3073">
        <v>25</v>
      </c>
      <c r="F34" s="3073">
        <v>1607.3</v>
      </c>
      <c r="G34" s="3073">
        <v>5</v>
      </c>
      <c r="H34" s="3073" t="s">
        <v>3093</v>
      </c>
      <c r="I34" s="3073">
        <v>1992</v>
      </c>
      <c r="J34" s="3072">
        <f t="shared" si="0"/>
        <v>0.43</v>
      </c>
      <c r="K34" s="3072">
        <f>K16</f>
        <v>2.6</v>
      </c>
    </row>
    <row r="35" spans="1:11">
      <c r="A35" s="3073" t="s">
        <v>3083</v>
      </c>
      <c r="B35" s="3073" t="s">
        <v>3086</v>
      </c>
      <c r="C35" s="3073" t="s">
        <v>3133</v>
      </c>
      <c r="D35" s="3073" t="s">
        <v>3089</v>
      </c>
      <c r="E35" s="3073" t="s">
        <v>3132</v>
      </c>
      <c r="F35" s="3073">
        <f>SUM(F10:F34)</f>
        <v>21395.8</v>
      </c>
      <c r="G35" s="3073" t="s">
        <v>3132</v>
      </c>
      <c r="H35" s="3073" t="s">
        <v>3093</v>
      </c>
      <c r="I35" s="3073" t="s">
        <v>3132</v>
      </c>
      <c r="J35" s="3072">
        <f>ROUND(SUMPRODUCT(F10:F34,J10:J34)/F35,2)</f>
        <v>0.41</v>
      </c>
      <c r="K35" s="3072">
        <f>ROUND(SUMPRODUCT(F10:F34,K10:K34)/F35,2)</f>
        <v>2.41</v>
      </c>
    </row>
    <row r="36" spans="1:11">
      <c r="I36" s="3072" t="s">
        <v>3103</v>
      </c>
      <c r="J36" s="3072">
        <v>0.8</v>
      </c>
    </row>
    <row r="37" spans="1:11">
      <c r="I37" s="3072" t="s">
        <v>3135</v>
      </c>
      <c r="J37" s="3072">
        <f>ROUND((J35+J36)/2,2)</f>
        <v>0.61</v>
      </c>
    </row>
  </sheetData>
  <mergeCells count="5">
    <mergeCell ref="A1:G1"/>
    <mergeCell ref="A8:I8"/>
    <mergeCell ref="B10:B34"/>
    <mergeCell ref="C10:C34"/>
    <mergeCell ref="D10:D34"/>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68" t="s">
        <v>1817</v>
      </c>
      <c r="B2" s="3168"/>
      <c r="C2" s="3168"/>
      <c r="D2" s="904" t="s">
        <v>1793</v>
      </c>
      <c r="E2" s="1824" t="s">
        <v>1794</v>
      </c>
      <c r="F2" s="2886"/>
      <c r="G2" s="2877"/>
      <c r="H2" s="2878"/>
      <c r="I2" s="2548" t="s">
        <v>1818</v>
      </c>
      <c r="J2" s="2886"/>
      <c r="K2" s="2886"/>
      <c r="L2" s="2886"/>
      <c r="M2" s="2886"/>
      <c r="N2" s="2888"/>
      <c r="O2" s="2886"/>
      <c r="P2" s="2886"/>
    </row>
    <row r="3" spans="1:16" ht="15.75" thickBot="1">
      <c r="A3" s="3169" t="s">
        <v>1791</v>
      </c>
      <c r="B3" s="3169"/>
      <c r="C3" s="3169"/>
      <c r="D3" s="46">
        <f>'数据-基础表'!AY6</f>
        <v>78780.759999999995</v>
      </c>
      <c r="E3" s="46">
        <f>'数据-基础表'!AZ5</f>
        <v>21395.8</v>
      </c>
      <c r="F3" s="2886"/>
      <c r="G3" s="1307"/>
      <c r="H3" s="1157" t="s">
        <v>1792</v>
      </c>
      <c r="I3" s="964">
        <f>ROUND('数据-基础表'!B3/'数据-基础表'!A3,2)</f>
        <v>0.27</v>
      </c>
      <c r="J3" s="2886"/>
      <c r="K3" s="2886"/>
      <c r="L3" s="2886"/>
      <c r="M3" s="2886"/>
      <c r="N3" s="2888"/>
      <c r="O3" s="2886"/>
      <c r="P3" s="2886"/>
    </row>
    <row r="4" spans="1:16" ht="15">
      <c r="A4" s="3170"/>
      <c r="B4" s="3171"/>
      <c r="C4" s="3172"/>
      <c r="D4" s="1826" t="s">
        <v>1793</v>
      </c>
      <c r="E4" s="1827" t="s">
        <v>1794</v>
      </c>
      <c r="F4" s="2886"/>
      <c r="G4" s="2879" t="s">
        <v>1819</v>
      </c>
      <c r="H4" s="1157" t="s">
        <v>1799</v>
      </c>
      <c r="I4" s="964">
        <f>ROUND(SUMIF('数据-基础表'!I9:AS9,"地上",'数据-基础表'!I5:AS5)/'数据-基础表'!A3,2)</f>
        <v>0.27</v>
      </c>
      <c r="J4" s="2886"/>
      <c r="K4" s="2886"/>
      <c r="L4" s="2886"/>
      <c r="M4" s="2886"/>
      <c r="N4" s="2888"/>
      <c r="O4" s="2886"/>
      <c r="P4" s="2886"/>
    </row>
    <row r="5" spans="1:16">
      <c r="A5" s="47" t="s">
        <v>1795</v>
      </c>
      <c r="B5" s="3173" t="s">
        <v>1796</v>
      </c>
      <c r="C5" s="3173"/>
      <c r="D5" s="48">
        <f>ROUND($D$3*E5/$E$3,2)</f>
        <v>0</v>
      </c>
      <c r="E5" s="49">
        <f>SUMIF('数据-基础表'!$11:$11,"住宅",'数据-基础表'!$5:$5)</f>
        <v>0</v>
      </c>
      <c r="F5" s="2886"/>
      <c r="G5" s="1307"/>
      <c r="H5" s="1157" t="s">
        <v>1792</v>
      </c>
      <c r="I5" s="964">
        <f>ROUND(E31/D31,2)</f>
        <v>0.27</v>
      </c>
      <c r="J5" s="2886"/>
      <c r="K5" s="2886"/>
      <c r="L5" s="2886"/>
      <c r="M5" s="2886"/>
      <c r="N5" s="2886"/>
      <c r="O5" s="2886"/>
      <c r="P5" s="2886"/>
    </row>
    <row r="6" spans="1:16" ht="15" thickBot="1">
      <c r="A6" s="1829"/>
      <c r="B6" s="3173" t="s">
        <v>1797</v>
      </c>
      <c r="C6" s="3173"/>
      <c r="D6" s="48">
        <f>ROUND($D$3*E6/$E$3,2)</f>
        <v>78780.759999999995</v>
      </c>
      <c r="E6" s="49">
        <f>E3-E5</f>
        <v>21395.8</v>
      </c>
      <c r="F6" s="2886"/>
      <c r="G6" s="2880" t="s">
        <v>1798</v>
      </c>
      <c r="H6" s="1308" t="s">
        <v>1799</v>
      </c>
      <c r="I6" s="2881">
        <f>ROUND(F31/D31,2)</f>
        <v>0.27</v>
      </c>
      <c r="J6" s="2886"/>
      <c r="K6" s="2886"/>
      <c r="L6" s="2886"/>
      <c r="M6" s="2886"/>
      <c r="N6" s="2886"/>
      <c r="O6" s="2886"/>
      <c r="P6" s="2886"/>
    </row>
    <row r="7" spans="1:16" ht="15.75" thickBot="1">
      <c r="A7" s="3165"/>
      <c r="B7" s="3166"/>
      <c r="C7" s="3167"/>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78780.759999999995</v>
      </c>
      <c r="E8" s="51">
        <f>SUMIF('数据-基础表'!BB10:BK10,"地上",'数据-基础表'!BB5:BK5)</f>
        <v>21395.8</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78780.759999999995</v>
      </c>
      <c r="E16" s="53">
        <f>SUM(E8:E15)</f>
        <v>21395.8</v>
      </c>
      <c r="F16" s="2886"/>
      <c r="G16" s="2887"/>
      <c r="H16" s="1833" t="s">
        <v>1821</v>
      </c>
      <c r="I16" s="1834"/>
      <c r="J16" s="1301"/>
      <c r="K16" s="3162" t="s">
        <v>1821</v>
      </c>
      <c r="L16" s="3163"/>
      <c r="M16" s="3163"/>
      <c r="N16" s="3163"/>
      <c r="O16" s="3163"/>
      <c r="P16" s="3164"/>
    </row>
    <row r="17" spans="1:19" ht="15">
      <c r="A17" s="1835" t="s">
        <v>1822</v>
      </c>
      <c r="B17" s="1836" t="s">
        <v>1823</v>
      </c>
      <c r="C17" s="1837" t="s">
        <v>1824</v>
      </c>
      <c r="D17" s="1838" t="s">
        <v>1812</v>
      </c>
      <c r="E17" s="1839" t="s">
        <v>1813</v>
      </c>
      <c r="F17" s="1840"/>
      <c r="G17" s="1841"/>
      <c r="H17" s="1842" t="s">
        <v>1825</v>
      </c>
      <c r="I17" s="1843" t="s">
        <v>1810</v>
      </c>
      <c r="J17" s="1301"/>
      <c r="K17" s="3159" t="s">
        <v>1826</v>
      </c>
      <c r="L17" s="3160"/>
      <c r="M17" s="3161"/>
      <c r="N17" s="3159" t="s">
        <v>1827</v>
      </c>
      <c r="O17" s="3160"/>
      <c r="P17" s="3161"/>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5" t="s">
        <v>3100</v>
      </c>
      <c r="D19" s="48">
        <f>ROUND($D$3*E19/$E$3,2)</f>
        <v>78780.759999999995</v>
      </c>
      <c r="E19" s="56">
        <f t="shared" ref="E19:E26" si="1">SUM(F19:G19)</f>
        <v>21395.8</v>
      </c>
      <c r="F19" s="3026">
        <f>'数据-基础表'!I13</f>
        <v>21395.8</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78780.759999999995</v>
      </c>
      <c r="S19" s="1158">
        <f t="shared" si="5"/>
        <v>21395.8</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78780.759999999995</v>
      </c>
      <c r="E27" s="1303">
        <f>IF(SUM(E19:E26)='数据-基础表'!BA5,SUM(E19:E26),IF(F27="地上面积有误","面积有误","地下面积有误"))</f>
        <v>21395.8</v>
      </c>
      <c r="F27" s="1302">
        <f>IF(SUM(F19:F26)=E8,SUM(F19:F26),"地上面积有误")</f>
        <v>21395.8</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78780.759999999995</v>
      </c>
      <c r="S27" s="1157">
        <f>IF(SUM(S19:S26)=$E$3,SUM(S19:S26),SUM(S19:S26)&amp;"误差"&amp;ROUND(SUM(S19:S26)-E3,2))</f>
        <v>21395.8</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78780.759999999995</v>
      </c>
      <c r="E31" s="685">
        <f>E27+E30</f>
        <v>21395.8</v>
      </c>
      <c r="F31" s="686">
        <f>F27+F30</f>
        <v>21395.8</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O30" sqref="O30"/>
    </sheetView>
  </sheetViews>
  <sheetFormatPr defaultColWidth="13.75" defaultRowHeight="12.75"/>
  <cols>
    <col min="1" max="1" width="22.62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44512</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3096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57551</v>
      </c>
      <c r="F6" s="68">
        <f>SUMIF(项目基本情况!D$12:I$12,C6,项目基本情况!D$15:I$15)</f>
        <v>35.72</v>
      </c>
      <c r="G6" s="69">
        <f>IF(ISERROR(ROUND(POWER(1+H6,D6-F6)*(POWER(1+H6,F6)-1)/(POWER(1+H6,D6)-1),3)),0,ROUND(POWER(1+H6,D6-F6)*(POWER(1+H6,F6)-1)/(POWER(1+H6,D6)-1),3))</f>
        <v>0.89100000000000001</v>
      </c>
      <c r="H6" s="741">
        <v>4.4999999999999998E-2</v>
      </c>
      <c r="I6" s="741">
        <v>0.05</v>
      </c>
      <c r="J6" s="70">
        <v>7.0000000000000007E-2</v>
      </c>
      <c r="K6" s="1161">
        <f>SUMIF('数据-汇总表'!C$19:C$33,A6,'数据-汇总表'!E$19:E$33)</f>
        <v>21395.8</v>
      </c>
      <c r="L6" s="742">
        <v>2000</v>
      </c>
      <c r="M6" s="71">
        <f t="shared" ref="M6:M14" si="0">ROUND(K6*L6/10000,0)</f>
        <v>4279</v>
      </c>
      <c r="N6" s="740">
        <f>清单!J37</f>
        <v>0.61</v>
      </c>
      <c r="O6" s="71" t="str">
        <f>IF($N$5="成新度","——",ROUND(M6*N6,0))</f>
        <v>——</v>
      </c>
      <c r="P6" s="72" t="str">
        <f>IF($N$5="成新度","——",M6-O6)</f>
        <v>——</v>
      </c>
      <c r="Q6" s="743">
        <v>0.05</v>
      </c>
      <c r="R6" s="73">
        <f ca="1">SUMIF('数据-汇总表'!C$19:C$33,A6,'数据-汇总表'!R$19:R$27)</f>
        <v>78780.759999999995</v>
      </c>
      <c r="S6" s="54">
        <f>IF('数据-汇总表'!$I$17="按面积比例",SUMIF('数据-汇总表'!C$19:C$33,A6,'数据-汇总表'!K$19:K$33),SUMIF('数据-汇总表'!C$19:C$33,A6,'数据-汇总表'!N$19:N$33))</f>
        <v>0</v>
      </c>
      <c r="T6" s="1334">
        <f>ROUND($L$14*S6/10000,0)</f>
        <v>0</v>
      </c>
      <c r="U6" s="74">
        <v>2.4</v>
      </c>
      <c r="V6" s="75">
        <v>0.02</v>
      </c>
      <c r="W6" s="75">
        <v>0.15</v>
      </c>
      <c r="X6" s="1171"/>
      <c r="Y6" s="76">
        <f>N6</f>
        <v>0.61</v>
      </c>
      <c r="Z6" s="77"/>
      <c r="AA6" s="70"/>
      <c r="AB6" s="70"/>
      <c r="AC6" s="1171"/>
      <c r="AD6" s="78"/>
      <c r="AE6" s="1172">
        <f ca="1">IF(AN6="",0,SUMIF(INDIRECT("'"&amp;AN6&amp;"'"&amp;"!E:E"),$AE$5,INDIRECT("'"&amp;AN6&amp;"'"&amp;"!F:F")))</f>
        <v>35.72</v>
      </c>
      <c r="AF6" s="1532"/>
      <c r="AG6" s="143">
        <f>IF(AF6="",0,AE6-AF6)</f>
        <v>0</v>
      </c>
      <c r="AH6" s="79"/>
      <c r="AI6" s="81">
        <v>365</v>
      </c>
      <c r="AJ6" s="82"/>
      <c r="AK6" s="83">
        <v>1.4999999999999999E-2</v>
      </c>
      <c r="AL6" s="84">
        <v>1.5E-3</v>
      </c>
      <c r="AM6" s="85">
        <v>1.4999999999999999E-2</v>
      </c>
      <c r="AN6" s="1901" t="s">
        <v>3102</v>
      </c>
      <c r="AO6" s="55">
        <f ca="1">SUMIF(INDIRECT("'"&amp;AN6&amp;"'"&amp;"!A:A"),"总价",INDIRECT("'"&amp;AN6&amp;"'"&amp;"!B:B"))</f>
        <v>25840</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14.25">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0.89100000000000001</v>
      </c>
      <c r="H16" s="95">
        <f>ROUND(SUMPRODUCT(H6:H13,K6:K13)/SUMPRODUCT((H6:H13&gt;0)*(K6:K13)),3)</f>
        <v>4.4999999999999998E-2</v>
      </c>
      <c r="I16" s="96"/>
      <c r="J16" s="96"/>
      <c r="K16" s="97">
        <f>SUM(K6:K15)</f>
        <v>21395.8</v>
      </c>
      <c r="L16" s="98">
        <f>ROUND(M16*10000/SUM(K6:K14),0)</f>
        <v>2000</v>
      </c>
      <c r="M16" s="98">
        <f>SUM(M6:M14)</f>
        <v>4279</v>
      </c>
      <c r="N16" s="99">
        <f>ROUND(SUMPRODUCT(M6:M14,N6:N14)/M16,3)</f>
        <v>0.61</v>
      </c>
      <c r="O16" s="98">
        <f>SUM(O6:O14)</f>
        <v>0</v>
      </c>
      <c r="P16" s="98">
        <f>SUM(P6:P14)</f>
        <v>0</v>
      </c>
      <c r="Q16" s="100">
        <f>ROUND(SUMPRODUCT(Q6:Q13,K6:K13)/SUMPRODUCT((Q6:Q13&gt;0)*(K6:K13)),2)</f>
        <v>0.05</v>
      </c>
      <c r="R16" s="1165">
        <f ca="1">SUM(R6:R13)</f>
        <v>78780.759999999995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1</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1</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1</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1</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14.25">
      <c r="A27" s="1913" t="s">
        <v>1906</v>
      </c>
      <c r="B27" s="112">
        <v>150</v>
      </c>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190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407</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8" customHeight="1" thickBot="1">
      <c r="A40" s="3046" t="s">
        <v>3101</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74" t="s">
        <v>3032</v>
      </c>
      <c r="B1" s="3175"/>
      <c r="C1" s="3175"/>
      <c r="D1" s="3175"/>
      <c r="E1" s="3175"/>
      <c r="F1" s="3175"/>
      <c r="G1" s="317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c r="A1" s="2738" t="s">
        <v>1331</v>
      </c>
      <c r="B1" s="2738">
        <f>SUM(B14:B23)</f>
        <v>21395.8</v>
      </c>
      <c r="C1" s="2915"/>
      <c r="D1" s="2915"/>
      <c r="E1" s="2915"/>
      <c r="F1" s="2915"/>
      <c r="G1" s="2916"/>
      <c r="H1" s="2917"/>
      <c r="I1" s="2917"/>
      <c r="J1" s="2917"/>
      <c r="K1" s="2917"/>
    </row>
    <row r="2" spans="1:11">
      <c r="A2" s="2738" t="s">
        <v>1319</v>
      </c>
      <c r="B2" s="2738">
        <f>SUM(C14:C23)</f>
        <v>78780.759999999995</v>
      </c>
      <c r="C2" s="2915"/>
      <c r="D2" s="2915"/>
      <c r="E2" s="2915"/>
      <c r="F2" s="2915"/>
      <c r="G2" s="2916"/>
      <c r="H2" s="2917"/>
      <c r="I2" s="2917"/>
      <c r="J2" s="2917"/>
      <c r="K2" s="2917"/>
    </row>
    <row r="3" spans="1:11">
      <c r="A3" s="2738" t="s">
        <v>1328</v>
      </c>
      <c r="B3" s="2740">
        <f>项目基本情况!D3</f>
        <v>44512</v>
      </c>
      <c r="C3" s="2915"/>
      <c r="D3" s="2915"/>
      <c r="E3" s="2915"/>
      <c r="F3" s="2915"/>
      <c r="G3" s="2916"/>
      <c r="H3" s="2917"/>
      <c r="I3" s="2917"/>
      <c r="J3" s="2917"/>
      <c r="K3" s="2917"/>
    </row>
    <row r="4" spans="1:11" ht="27">
      <c r="A4" s="2738" t="s">
        <v>1327</v>
      </c>
      <c r="B4" s="2738" t="s">
        <v>1326</v>
      </c>
      <c r="C4" s="2738" t="s">
        <v>1325</v>
      </c>
      <c r="D4" s="2738" t="s">
        <v>1324</v>
      </c>
      <c r="E4" s="2915"/>
      <c r="F4" s="2916"/>
      <c r="G4" s="2916"/>
      <c r="H4" s="2917"/>
      <c r="I4" s="2917"/>
      <c r="J4" s="2917"/>
      <c r="K4" s="2917"/>
    </row>
    <row r="5" spans="1:11">
      <c r="A5" s="2738" t="s">
        <v>1323</v>
      </c>
      <c r="B5" s="2738">
        <f ca="1">SUM(D14:D23)</f>
        <v>27538</v>
      </c>
      <c r="C5" s="2738">
        <f ca="1">ROUND(B5*10000/$B$1,0)</f>
        <v>12871</v>
      </c>
      <c r="D5" s="2738">
        <f ca="1">ROUND(B5*10000/$B$2,0)</f>
        <v>3496</v>
      </c>
      <c r="E5" s="2915"/>
      <c r="F5" s="2916"/>
      <c r="G5" s="2916"/>
      <c r="H5" s="2917"/>
      <c r="I5" s="2917"/>
      <c r="J5" s="2917"/>
      <c r="K5" s="2917"/>
    </row>
    <row r="6" spans="1:11">
      <c r="A6" s="2738" t="s">
        <v>1322</v>
      </c>
      <c r="B6" s="2738">
        <f ca="1">SUM(G14:G23)</f>
        <v>27538</v>
      </c>
      <c r="C6" s="2738">
        <f ca="1">ROUND(B6*10000/$B$1,0)</f>
        <v>12871</v>
      </c>
      <c r="D6" s="2738">
        <f ca="1">ROUND(B6*10000/$B$2,0)</f>
        <v>3496</v>
      </c>
      <c r="E6" s="2915"/>
      <c r="F6" s="2916"/>
      <c r="G6" s="2916"/>
      <c r="H6" s="2917"/>
      <c r="I6" s="2917"/>
      <c r="J6" s="2917"/>
      <c r="K6" s="2917"/>
    </row>
    <row r="7" spans="1:11">
      <c r="A7" s="2738" t="s">
        <v>1330</v>
      </c>
      <c r="B7" s="2738">
        <f>SUM(H14:H23)</f>
        <v>0</v>
      </c>
      <c r="C7" s="2738">
        <f>ROUND(B7*10000/$B$1,0)</f>
        <v>0</v>
      </c>
      <c r="D7" s="2738">
        <f>ROUND(B7*10000/$B$2,0)</f>
        <v>0</v>
      </c>
      <c r="E7" s="2915"/>
      <c r="F7" s="2916"/>
      <c r="G7" s="2916"/>
      <c r="H7" s="2917"/>
      <c r="I7" s="2917"/>
      <c r="J7" s="2917"/>
      <c r="K7" s="2917"/>
    </row>
    <row r="8" spans="1:11">
      <c r="A8" s="2738" t="s">
        <v>1252</v>
      </c>
      <c r="B8" s="2738">
        <f>SUM(I14:I23)</f>
        <v>0</v>
      </c>
      <c r="C8" s="2738">
        <f>ROUND(B8*10000/$B$1,0)</f>
        <v>0</v>
      </c>
      <c r="D8" s="2738">
        <f>ROUND(B8*10000/$B$2,0)</f>
        <v>0</v>
      </c>
      <c r="E8" s="2915"/>
      <c r="F8" s="2916"/>
      <c r="G8" s="2916"/>
      <c r="H8" s="2917"/>
      <c r="I8" s="2917"/>
      <c r="J8" s="2917"/>
      <c r="K8" s="2917"/>
    </row>
    <row r="9" spans="1:11">
      <c r="A9" s="2738" t="s">
        <v>1321</v>
      </c>
      <c r="B9" s="2746"/>
      <c r="C9" s="2915"/>
      <c r="D9" s="2915"/>
      <c r="E9" s="2915"/>
      <c r="F9" s="2916"/>
      <c r="G9" s="2916"/>
      <c r="H9" s="2917"/>
      <c r="I9" s="2917"/>
      <c r="J9" s="2917"/>
      <c r="K9" s="2917"/>
    </row>
    <row r="10" spans="1:11">
      <c r="A10" s="2738" t="s">
        <v>1320</v>
      </c>
      <c r="B10" s="2746"/>
      <c r="C10" s="2915"/>
      <c r="D10" s="2915"/>
      <c r="E10" s="2915"/>
      <c r="F10" s="2916"/>
      <c r="G10" s="2916"/>
      <c r="H10" s="2917"/>
      <c r="I10" s="2917"/>
      <c r="J10" s="2917"/>
      <c r="K10" s="2917"/>
    </row>
    <row r="11" spans="1:11">
      <c r="A11" s="2738" t="s">
        <v>1336</v>
      </c>
      <c r="B11" s="2746"/>
      <c r="C11" s="2915"/>
      <c r="D11" s="2915"/>
      <c r="E11" s="2915"/>
      <c r="F11" s="2916"/>
      <c r="G11" s="2916"/>
      <c r="H11" s="2917"/>
      <c r="I11" s="2917"/>
      <c r="J11" s="2917"/>
      <c r="K11" s="2917"/>
    </row>
    <row r="12" spans="1:11">
      <c r="A12" s="2915"/>
      <c r="B12" s="2915"/>
      <c r="C12" s="2915"/>
      <c r="D12" s="2915"/>
      <c r="E12" s="2915"/>
      <c r="F12" s="2916"/>
      <c r="G12" s="2916"/>
      <c r="H12" s="2917"/>
      <c r="I12" s="2917"/>
      <c r="J12" s="2917"/>
      <c r="K12" s="2917"/>
    </row>
    <row r="13" spans="1:11" ht="27">
      <c r="A13" s="2741" t="s">
        <v>1335</v>
      </c>
      <c r="B13" s="2742" t="s">
        <v>1332</v>
      </c>
      <c r="C13" s="2742" t="s">
        <v>1334</v>
      </c>
      <c r="D13" s="2742" t="s">
        <v>1333</v>
      </c>
      <c r="E13" s="2738" t="s">
        <v>1325</v>
      </c>
      <c r="F13" s="2738" t="s">
        <v>1324</v>
      </c>
      <c r="G13" s="2742" t="s">
        <v>1318</v>
      </c>
      <c r="H13" s="2742" t="s">
        <v>1329</v>
      </c>
      <c r="I13" s="2742" t="s">
        <v>1317</v>
      </c>
      <c r="J13" s="2916"/>
      <c r="K13" s="2917"/>
    </row>
    <row r="14" spans="1:11">
      <c r="A14" s="2743" t="s">
        <v>1316</v>
      </c>
      <c r="B14" s="2744">
        <f>结果表!B118</f>
        <v>21395.8</v>
      </c>
      <c r="C14" s="2744">
        <f>结果表!C118</f>
        <v>78780.759999999995</v>
      </c>
      <c r="D14" s="2744">
        <f ca="1">结果表!H118</f>
        <v>27538</v>
      </c>
      <c r="E14" s="2744">
        <f ca="1">ROUND(D14*10000/B14,0)</f>
        <v>12871</v>
      </c>
      <c r="F14" s="2744">
        <f ca="1">ROUND(D14*10000/C14,0)</f>
        <v>3496</v>
      </c>
      <c r="G14" s="2744">
        <f ca="1">结果表!D122</f>
        <v>27538</v>
      </c>
      <c r="H14" s="2744" t="str">
        <f>结果表!D124</f>
        <v>——</v>
      </c>
      <c r="I14" s="2744" t="str">
        <f>结果表!D126</f>
        <v>——</v>
      </c>
      <c r="J14" s="2916"/>
      <c r="K14" s="2917"/>
    </row>
    <row r="15" spans="1:11">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c r="A16" s="2743" t="s">
        <v>1314</v>
      </c>
      <c r="B16" s="2745"/>
      <c r="C16" s="2745"/>
      <c r="D16" s="2745"/>
      <c r="E16" s="2744" t="e">
        <f t="shared" si="0"/>
        <v>#DIV/0!</v>
      </c>
      <c r="F16" s="2744" t="e">
        <f t="shared" si="1"/>
        <v>#DIV/0!</v>
      </c>
      <c r="G16" s="1500"/>
      <c r="H16" s="1500"/>
      <c r="I16" s="2745"/>
      <c r="J16" s="2917"/>
      <c r="K16" s="2917"/>
    </row>
    <row r="17" spans="1:11">
      <c r="A17" s="2743" t="s">
        <v>1313</v>
      </c>
      <c r="B17" s="2745"/>
      <c r="C17" s="2745"/>
      <c r="D17" s="2745"/>
      <c r="E17" s="2744" t="e">
        <f t="shared" si="0"/>
        <v>#DIV/0!</v>
      </c>
      <c r="F17" s="2744" t="e">
        <f t="shared" si="1"/>
        <v>#DIV/0!</v>
      </c>
      <c r="G17" s="1500"/>
      <c r="H17" s="1500"/>
      <c r="I17" s="2745"/>
      <c r="J17" s="2917"/>
      <c r="K17" s="2917"/>
    </row>
    <row r="18" spans="1:11">
      <c r="A18" s="2743" t="s">
        <v>1312</v>
      </c>
      <c r="B18" s="2745"/>
      <c r="C18" s="2745"/>
      <c r="D18" s="2745"/>
      <c r="E18" s="2744" t="e">
        <f t="shared" si="0"/>
        <v>#DIV/0!</v>
      </c>
      <c r="F18" s="2744" t="e">
        <f t="shared" si="1"/>
        <v>#DIV/0!</v>
      </c>
      <c r="G18" s="2745"/>
      <c r="H18" s="2745"/>
      <c r="I18" s="2745"/>
      <c r="J18" s="2917"/>
      <c r="K18" s="2917"/>
    </row>
    <row r="19" spans="1:11">
      <c r="A19" s="2743" t="s">
        <v>1311</v>
      </c>
      <c r="B19" s="2745"/>
      <c r="C19" s="2745"/>
      <c r="D19" s="2745"/>
      <c r="E19" s="2744" t="e">
        <f t="shared" si="0"/>
        <v>#DIV/0!</v>
      </c>
      <c r="F19" s="2744" t="e">
        <f t="shared" si="1"/>
        <v>#DIV/0!</v>
      </c>
      <c r="G19" s="2745"/>
      <c r="H19" s="2745"/>
      <c r="I19" s="2745"/>
      <c r="J19" s="2917"/>
      <c r="K19" s="2917"/>
    </row>
    <row r="20" spans="1:11">
      <c r="A20" s="2743" t="s">
        <v>1310</v>
      </c>
      <c r="B20" s="2745"/>
      <c r="C20" s="2745"/>
      <c r="D20" s="2745"/>
      <c r="E20" s="2744" t="e">
        <f t="shared" si="0"/>
        <v>#DIV/0!</v>
      </c>
      <c r="F20" s="2744" t="e">
        <f t="shared" si="1"/>
        <v>#DIV/0!</v>
      </c>
      <c r="G20" s="2745"/>
      <c r="H20" s="2745"/>
      <c r="I20" s="2745"/>
      <c r="J20" s="2917"/>
      <c r="K20" s="2917"/>
    </row>
    <row r="21" spans="1:11">
      <c r="A21" s="2743" t="s">
        <v>1309</v>
      </c>
      <c r="B21" s="2745"/>
      <c r="C21" s="2745"/>
      <c r="D21" s="2745"/>
      <c r="E21" s="2744" t="e">
        <f t="shared" si="0"/>
        <v>#DIV/0!</v>
      </c>
      <c r="F21" s="2744" t="e">
        <f t="shared" si="1"/>
        <v>#DIV/0!</v>
      </c>
      <c r="G21" s="2745"/>
      <c r="H21" s="2745"/>
      <c r="I21" s="2745"/>
      <c r="J21" s="2917"/>
      <c r="K21" s="2917"/>
    </row>
    <row r="22" spans="1:11">
      <c r="A22" s="2743" t="s">
        <v>1308</v>
      </c>
      <c r="B22" s="2745"/>
      <c r="C22" s="2745"/>
      <c r="D22" s="2745"/>
      <c r="E22" s="2744" t="e">
        <f t="shared" si="0"/>
        <v>#DIV/0!</v>
      </c>
      <c r="F22" s="2744" t="e">
        <f t="shared" si="1"/>
        <v>#DIV/0!</v>
      </c>
      <c r="G22" s="2745"/>
      <c r="H22" s="2745"/>
      <c r="I22" s="2745"/>
      <c r="J22" s="2917"/>
      <c r="K22" s="2917"/>
    </row>
    <row r="23" spans="1:11">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37" sqref="H37"/>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6</v>
      </c>
      <c r="D1" s="1933"/>
      <c r="E1" s="1933"/>
      <c r="F1" s="1935" t="s">
        <v>1949</v>
      </c>
      <c r="G1" s="1746"/>
      <c r="H1" s="1936" t="str">
        <f>IF(G1="现房","——","估价对象范围")</f>
        <v>估价对象范围</v>
      </c>
      <c r="I1" s="1937"/>
    </row>
    <row r="2" spans="1:12" ht="21.75" customHeight="1" thickBot="1">
      <c r="A2" s="3246" t="str">
        <f>项目基本情况!S2</f>
        <v>北京市房地产</v>
      </c>
      <c r="B2" s="3247"/>
      <c r="C2" s="3247"/>
      <c r="D2" s="3247"/>
      <c r="E2" s="3247"/>
      <c r="F2" s="3247"/>
      <c r="G2" s="3247"/>
      <c r="H2" s="3247"/>
      <c r="I2" s="3248"/>
    </row>
    <row r="3" spans="1:12" ht="12.75">
      <c r="A3" s="3250" t="s">
        <v>1950</v>
      </c>
      <c r="B3" s="3251"/>
      <c r="C3" s="3251"/>
      <c r="D3" s="3251"/>
      <c r="E3" s="3251"/>
      <c r="F3" s="3251"/>
      <c r="G3" s="3251"/>
      <c r="H3" s="3251"/>
      <c r="I3" s="3251"/>
    </row>
    <row r="4" spans="1:12" ht="14.25">
      <c r="A4" s="1940" t="s">
        <v>1951</v>
      </c>
      <c r="B4" s="1941" t="s">
        <v>1952</v>
      </c>
      <c r="C4" s="1942" t="s">
        <v>3128</v>
      </c>
      <c r="D4" s="1942" t="s">
        <v>3102</v>
      </c>
      <c r="E4" s="3255" t="s">
        <v>1953</v>
      </c>
      <c r="F4" s="3256"/>
      <c r="G4" s="3256"/>
      <c r="H4" s="3256"/>
      <c r="I4" s="325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1" t="s">
        <v>1954</v>
      </c>
      <c r="B5" s="3249">
        <v>25</v>
      </c>
      <c r="C5" s="3252"/>
      <c r="D5" s="3240"/>
      <c r="E5" s="136" t="s">
        <v>1955</v>
      </c>
      <c r="F5" s="1943"/>
      <c r="G5" s="1943"/>
      <c r="H5" s="1943"/>
      <c r="I5" s="1557"/>
    </row>
    <row r="6" spans="1:12" ht="12.75">
      <c r="A6" s="3191"/>
      <c r="B6" s="3249"/>
      <c r="C6" s="3254"/>
      <c r="D6" s="3240"/>
      <c r="E6" s="136" t="s">
        <v>1956</v>
      </c>
      <c r="F6" s="1943"/>
      <c r="G6" s="1943"/>
      <c r="H6" s="1943"/>
      <c r="I6" s="1557"/>
    </row>
    <row r="7" spans="1:12" ht="12.75">
      <c r="A7" s="3191"/>
      <c r="B7" s="3249"/>
      <c r="C7" s="3253"/>
      <c r="D7" s="3240"/>
      <c r="E7" s="136" t="s">
        <v>1957</v>
      </c>
      <c r="F7" s="1943"/>
      <c r="G7" s="1943"/>
      <c r="H7" s="1943"/>
      <c r="I7" s="1557"/>
    </row>
    <row r="8" spans="1:12" ht="12.75">
      <c r="A8" s="3191" t="s">
        <v>1958</v>
      </c>
      <c r="B8" s="3249">
        <v>15</v>
      </c>
      <c r="C8" s="3252"/>
      <c r="D8" s="3240"/>
      <c r="E8" s="136" t="s">
        <v>1959</v>
      </c>
      <c r="F8" s="1943"/>
      <c r="G8" s="1943"/>
      <c r="H8" s="1943"/>
      <c r="I8" s="1557"/>
    </row>
    <row r="9" spans="1:12" ht="12.75">
      <c r="A9" s="3191"/>
      <c r="B9" s="3249"/>
      <c r="C9" s="3253"/>
      <c r="D9" s="3240"/>
      <c r="E9" s="136" t="s">
        <v>1960</v>
      </c>
      <c r="F9" s="1943"/>
      <c r="G9" s="1943"/>
      <c r="H9" s="1943"/>
      <c r="I9" s="1557"/>
    </row>
    <row r="10" spans="1:12" ht="12.75">
      <c r="A10" s="3191" t="s">
        <v>1961</v>
      </c>
      <c r="B10" s="3249">
        <v>15</v>
      </c>
      <c r="C10" s="3252"/>
      <c r="D10" s="3240"/>
      <c r="E10" s="136" t="s">
        <v>1962</v>
      </c>
      <c r="F10" s="1943"/>
      <c r="G10" s="1943"/>
      <c r="H10" s="1943"/>
      <c r="I10" s="1557"/>
    </row>
    <row r="11" spans="1:12" ht="12.75">
      <c r="A11" s="3191"/>
      <c r="B11" s="3249"/>
      <c r="C11" s="3253"/>
      <c r="D11" s="3240"/>
      <c r="E11" s="136" t="s">
        <v>1963</v>
      </c>
      <c r="F11" s="1943"/>
      <c r="G11" s="1943"/>
      <c r="H11" s="1943"/>
      <c r="I11" s="1557"/>
    </row>
    <row r="12" spans="1:12" ht="12.75">
      <c r="A12" s="3191" t="s">
        <v>1964</v>
      </c>
      <c r="B12" s="3249">
        <v>15</v>
      </c>
      <c r="C12" s="3252"/>
      <c r="D12" s="3240"/>
      <c r="E12" s="136" t="s">
        <v>1965</v>
      </c>
      <c r="F12" s="1943"/>
      <c r="G12" s="1943"/>
      <c r="H12" s="1943"/>
      <c r="I12" s="1557"/>
    </row>
    <row r="13" spans="1:12" ht="12.75">
      <c r="A13" s="3191"/>
      <c r="B13" s="3249"/>
      <c r="C13" s="3253"/>
      <c r="D13" s="3240"/>
      <c r="E13" s="136" t="s">
        <v>1966</v>
      </c>
      <c r="F13" s="1943"/>
      <c r="G13" s="1943"/>
      <c r="H13" s="1943"/>
      <c r="I13" s="1557"/>
    </row>
    <row r="14" spans="1:12" ht="12.75">
      <c r="A14" s="3191" t="s">
        <v>1967</v>
      </c>
      <c r="B14" s="3249">
        <v>30</v>
      </c>
      <c r="C14" s="3252">
        <v>5</v>
      </c>
      <c r="D14" s="3240">
        <v>5</v>
      </c>
      <c r="E14" s="136" t="s">
        <v>1968</v>
      </c>
      <c r="F14" s="1943"/>
      <c r="G14" s="1943"/>
      <c r="H14" s="1943"/>
      <c r="I14" s="1557"/>
    </row>
    <row r="15" spans="1:12" ht="12.75">
      <c r="A15" s="3191"/>
      <c r="B15" s="3249"/>
      <c r="C15" s="3254"/>
      <c r="D15" s="3240"/>
      <c r="E15" s="136" t="s">
        <v>1969</v>
      </c>
      <c r="F15" s="1943"/>
      <c r="G15" s="1943"/>
      <c r="H15" s="1943"/>
      <c r="I15" s="1557"/>
    </row>
    <row r="16" spans="1:12" ht="12.75">
      <c r="A16" s="3191"/>
      <c r="B16" s="3249"/>
      <c r="C16" s="3253"/>
      <c r="D16" s="3240"/>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71" t="s">
        <v>2873</v>
      </c>
      <c r="F18" s="3272"/>
      <c r="G18" s="3272"/>
      <c r="H18" s="3272"/>
      <c r="I18" s="3272"/>
      <c r="K18" s="308" t="s">
        <v>1975</v>
      </c>
      <c r="L18" s="308">
        <f>IF(C1="",'数据-汇总表'!E3,SUMIF(项目类型,C1,'数据-汇总表'!E17:E26)+SUMIF(项目类型,C1,'数据-汇总表'!I17:I26))</f>
        <v>21395.8</v>
      </c>
      <c r="M18" s="308">
        <f>IF(C1="",'数据-汇总表'!E3,SUMIF(项目类型,C1,'数据-汇总表'!E17:E26))</f>
        <v>21395.8</v>
      </c>
    </row>
    <row r="19" spans="1:36" ht="15">
      <c r="A19" s="1947" t="s">
        <v>1976</v>
      </c>
      <c r="B19" s="1948" t="s">
        <v>1977</v>
      </c>
      <c r="C19" s="139">
        <f ca="1">SUMIF(INDIRECT("'"&amp;C4&amp;"'"&amp;"!A:A"),结果表!B19,INDIRECT("'"&amp;C4&amp;"'"&amp;"!B:B"))</f>
        <v>29235</v>
      </c>
      <c r="D19" s="140">
        <f ca="1">SUMIF(INDIRECT("'"&amp;D4&amp;"'"&amp;"!A:A"),结果表!B19,INDIRECT("'"&amp;D4&amp;"'"&amp;"!B:B"))</f>
        <v>25840</v>
      </c>
      <c r="E19" s="1947" t="s">
        <v>1978</v>
      </c>
      <c r="F19" s="1948" t="s">
        <v>1977</v>
      </c>
      <c r="G19" s="141">
        <f ca="1">ROUND(C19*$C$18+D19*$D$18,0)</f>
        <v>27538</v>
      </c>
      <c r="H19" s="1949" t="s">
        <v>1979</v>
      </c>
      <c r="I19" s="134"/>
      <c r="K19" s="308" t="s">
        <v>1980</v>
      </c>
      <c r="L19" s="308">
        <f>IF(C1="",'数据-汇总表'!D3,SUMIF(项目类型,C1,'数据-汇总表'!D17:D26)+SUMIF(项目类型,C1,'数据-汇总表'!H17:H27))</f>
        <v>78780.759999999995</v>
      </c>
      <c r="M19" s="308">
        <f>IF(C1="",'数据-汇总表'!D3,SUMIF(项目类型,C1,'数据-汇总表'!D17:D26))</f>
        <v>78780.759999999995</v>
      </c>
    </row>
    <row r="20" spans="1:36" ht="15">
      <c r="A20" s="1950"/>
      <c r="B20" s="1157" t="s">
        <v>1981</v>
      </c>
      <c r="C20" s="142">
        <f ca="1">SUMIF(INDIRECT("'"&amp;C4&amp;"'"&amp;"!A:A"),结果表!B20,INDIRECT("'"&amp;C4&amp;"'"&amp;"!B:B"))</f>
        <v>13664</v>
      </c>
      <c r="D20" s="143">
        <f ca="1">SUMIF(INDIRECT("'"&amp;D4&amp;"'"&amp;"!A:A"),结果表!B20,INDIRECT("'"&amp;D4&amp;"'"&amp;"!B:B"))</f>
        <v>12077</v>
      </c>
      <c r="E20" s="1950"/>
      <c r="F20" s="1157" t="s">
        <v>1981</v>
      </c>
      <c r="G20" s="144">
        <f ca="1">ROUND(C20*$C$18+D20*$D$18,0)</f>
        <v>12871</v>
      </c>
      <c r="H20" s="917" t="s">
        <v>1982</v>
      </c>
      <c r="I20" s="134"/>
    </row>
    <row r="21" spans="1:36" ht="15" customHeight="1" thickBot="1">
      <c r="A21" s="937"/>
      <c r="B21" s="1951" t="s">
        <v>1983</v>
      </c>
      <c r="C21" s="728">
        <f ca="1">ROUND(C19*10000/L19,0)</f>
        <v>3711</v>
      </c>
      <c r="D21" s="729">
        <f ca="1">ROUND(D19*10000/L19,0)</f>
        <v>3280</v>
      </c>
      <c r="E21" s="937"/>
      <c r="F21" s="1951" t="s">
        <v>1983</v>
      </c>
      <c r="G21" s="145">
        <f ca="1">ROUND(G19*10000/L19,0)</f>
        <v>3496</v>
      </c>
      <c r="H21" s="1952" t="s">
        <v>1982</v>
      </c>
      <c r="I21" s="134"/>
    </row>
    <row r="22" spans="1:36" ht="15" thickBot="1">
      <c r="A22" s="1874" t="s">
        <v>1984</v>
      </c>
      <c r="B22" s="1953"/>
      <c r="C22" s="1954"/>
      <c r="D22" s="730">
        <f ca="1">IF(C19&lt;D19,D19/C19-1,C19/D19-1)</f>
        <v>0.13138544891640858</v>
      </c>
      <c r="E22" s="134"/>
      <c r="F22" s="134"/>
      <c r="G22" s="134"/>
      <c r="H22" s="134"/>
      <c r="I22" s="134"/>
    </row>
    <row r="23" spans="1:36" ht="13.5" thickBot="1">
      <c r="A23" s="1933"/>
      <c r="B23" s="1933"/>
      <c r="C23" s="1933"/>
      <c r="D23" s="1933"/>
      <c r="E23" s="134"/>
      <c r="F23" s="134"/>
      <c r="G23" s="134"/>
      <c r="H23" s="134"/>
      <c r="I23" s="134"/>
    </row>
    <row r="24" spans="1:36" ht="14.25">
      <c r="A24" s="3264" t="s">
        <v>1985</v>
      </c>
      <c r="B24" s="1948" t="s">
        <v>1977</v>
      </c>
      <c r="C24" s="141">
        <f>IF(B30=0,0,D30)</f>
        <v>0</v>
      </c>
      <c r="D24" s="1955"/>
      <c r="E24" s="134"/>
      <c r="F24" s="134"/>
      <c r="G24" s="134"/>
      <c r="H24" s="134"/>
      <c r="I24" s="134"/>
    </row>
    <row r="25" spans="1:36" ht="14.25">
      <c r="A25" s="3265"/>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 ca="1">G19/清单!F6*666.67</f>
        <v>233.0360669280164</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27538</v>
      </c>
      <c r="D32" s="1961" t="s">
        <v>3129</v>
      </c>
      <c r="E32" s="134"/>
      <c r="F32" s="134"/>
      <c r="G32" s="134"/>
      <c r="H32" s="134"/>
      <c r="I32" s="134"/>
    </row>
    <row r="33" spans="1:15" ht="15">
      <c r="A33" s="894" t="s">
        <v>1992</v>
      </c>
      <c r="B33" s="1962"/>
      <c r="C33" s="1963" t="s">
        <v>3130</v>
      </c>
      <c r="D33" s="1964" t="s">
        <v>3102</v>
      </c>
      <c r="E33" s="1965" t="s">
        <v>1993</v>
      </c>
      <c r="F33" s="1966" t="str">
        <f>IF(D32="楼面单价","取值（单价）","取值（总价）")</f>
        <v>取值（总价）</v>
      </c>
      <c r="G33" s="134"/>
      <c r="H33" s="134"/>
      <c r="I33" s="134"/>
    </row>
    <row r="34" spans="1:15" ht="15">
      <c r="A34" s="1967"/>
      <c r="B34" s="1968" t="s">
        <v>1994</v>
      </c>
      <c r="C34" s="153">
        <f ca="1">IF(C33="自定义",F34,C32-C35)</f>
        <v>21893</v>
      </c>
      <c r="D34" s="970">
        <f ca="1">IF(C33="自定义",ROUND(C34/C32,3),IF(C33="收益比率",SUMIF(INDIRECT("'"&amp;D33&amp;"'"&amp;"!b:b"),"土地收益比率",INDIRECT("'"&amp;D33&amp;"'"&amp;"!c:c")),SUMIF(INDIRECT("'"&amp;D33&amp;"'"&amp;"!b:b"),"土地成本比率",INDIRECT("'"&amp;D33&amp;"'"&amp;"!c:c"))))</f>
        <v>0.79500000000000004</v>
      </c>
      <c r="E34" s="1969" t="s">
        <v>1995</v>
      </c>
      <c r="F34" s="1498"/>
      <c r="G34" s="134"/>
      <c r="H34" s="134"/>
      <c r="I34" s="134"/>
    </row>
    <row r="35" spans="1:15" ht="15.75" thickBot="1">
      <c r="A35" s="1970"/>
      <c r="B35" s="1971" t="s">
        <v>1996</v>
      </c>
      <c r="C35" s="1332">
        <f ca="1">IF(C33="自定义",F35,ROUND(C32*D35,0))</f>
        <v>5645</v>
      </c>
      <c r="D35" s="1333">
        <f ca="1">IF(C33="自定义",ROUND(C35/C32,3),IF(C33="收益比率",SUMIF(INDIRECT("'"&amp;D33&amp;"'"&amp;"!b:b"),"建筑物收益比率",INDIRECT("'"&amp;D33&amp;"'"&amp;"!c:c")),SUMIF(INDIRECT("'"&amp;D33&amp;"'"&amp;"!b:b"),"建筑物成本比率",INDIRECT("'"&amp;D33&amp;"'"&amp;"!c:c"))))</f>
        <v>0.20499999999999999</v>
      </c>
      <c r="E35" s="1972" t="s">
        <v>1997</v>
      </c>
      <c r="F35" s="159"/>
      <c r="G35" s="134"/>
      <c r="H35" s="134"/>
      <c r="I35" s="134"/>
    </row>
    <row r="36" spans="1:15" ht="15.75" thickBot="1">
      <c r="A36" s="3241" t="s">
        <v>1998</v>
      </c>
      <c r="B36" s="1973" t="s">
        <v>1999</v>
      </c>
      <c r="C36" s="150"/>
      <c r="D36" s="1974"/>
      <c r="E36" s="1975"/>
      <c r="F36" s="1976"/>
      <c r="G36" s="134"/>
      <c r="H36" s="134"/>
      <c r="I36" s="134"/>
    </row>
    <row r="37" spans="1:15" ht="15.75" thickBot="1">
      <c r="A37" s="3242"/>
      <c r="B37" s="1860" t="s">
        <v>2000</v>
      </c>
      <c r="C37" s="152"/>
      <c r="D37" s="1301"/>
      <c r="E37" s="1301"/>
      <c r="F37" s="1976"/>
      <c r="G37" s="134"/>
      <c r="H37" s="134"/>
      <c r="I37" s="134"/>
    </row>
    <row r="38" spans="1:15" ht="15.75" thickBot="1">
      <c r="A38" s="3243"/>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61" t="s">
        <v>2012</v>
      </c>
      <c r="B45" s="3262"/>
      <c r="C45" s="3263"/>
      <c r="D45" s="160">
        <f ca="1">ROUND(H101*F45,0)</f>
        <v>27538</v>
      </c>
      <c r="E45" s="161" t="s">
        <v>2013</v>
      </c>
      <c r="F45" s="162">
        <v>1</v>
      </c>
      <c r="G45" s="163" t="s">
        <v>2014</v>
      </c>
      <c r="H45" s="134"/>
      <c r="I45" s="134"/>
      <c r="J45" s="3178" t="s">
        <v>2015</v>
      </c>
      <c r="K45" s="3178"/>
      <c r="L45" s="3178"/>
      <c r="M45" s="3178"/>
      <c r="N45" s="3178"/>
      <c r="O45" s="3178"/>
    </row>
    <row r="46" spans="1:15" ht="14.25" customHeight="1">
      <c r="A46" s="3258" t="s">
        <v>2016</v>
      </c>
      <c r="B46" s="3259"/>
      <c r="C46" s="3259"/>
      <c r="D46" s="3259"/>
      <c r="E46" s="3259"/>
      <c r="F46" s="3259"/>
      <c r="G46" s="3260"/>
      <c r="H46" s="1992"/>
      <c r="I46" s="164"/>
      <c r="J46" s="2749">
        <v>1</v>
      </c>
      <c r="K46" s="3179" t="s">
        <v>2017</v>
      </c>
      <c r="L46" s="3179"/>
      <c r="M46" s="3180"/>
      <c r="N46" s="3180"/>
      <c r="O46" s="3180"/>
    </row>
    <row r="47" spans="1:15" ht="12" customHeight="1">
      <c r="A47" s="165" t="s">
        <v>2018</v>
      </c>
      <c r="B47" s="166"/>
      <c r="C47" s="167"/>
      <c r="D47" s="1247" t="s">
        <v>2019</v>
      </c>
      <c r="E47" s="308" t="s">
        <v>2020</v>
      </c>
      <c r="F47" s="168" t="s">
        <v>2021</v>
      </c>
      <c r="G47" s="2772" t="s">
        <v>2022</v>
      </c>
      <c r="H47" s="2773"/>
      <c r="I47" s="164"/>
      <c r="J47" s="2749">
        <v>2</v>
      </c>
      <c r="K47" s="3179" t="s">
        <v>2023</v>
      </c>
      <c r="L47" s="3179"/>
      <c r="M47" s="3181">
        <f>'数据-取费表'!B2</f>
        <v>44512</v>
      </c>
      <c r="N47" s="3181"/>
      <c r="O47" s="3181"/>
    </row>
    <row r="48" spans="1:15" ht="25.5">
      <c r="A48" s="3244" t="s">
        <v>2024</v>
      </c>
      <c r="B48" s="3245"/>
      <c r="C48" s="3245"/>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179" t="s">
        <v>2026</v>
      </c>
      <c r="L48" s="3179"/>
      <c r="M48" s="3182">
        <f ca="1">H101</f>
        <v>27538</v>
      </c>
      <c r="N48" s="3182"/>
      <c r="O48" s="3182"/>
    </row>
    <row r="49" spans="1:35" ht="25.5" customHeight="1">
      <c r="A49" s="2556" t="s">
        <v>2027</v>
      </c>
      <c r="B49" s="3227" t="s">
        <v>2028</v>
      </c>
      <c r="C49" s="3227"/>
      <c r="D49" s="1775">
        <v>0</v>
      </c>
      <c r="E49" s="330" t="s">
        <v>2029</v>
      </c>
      <c r="F49" s="2650" t="s">
        <v>34</v>
      </c>
      <c r="G49" s="3210"/>
      <c r="H49" s="2528" t="s">
        <v>2876</v>
      </c>
      <c r="I49" s="2529"/>
      <c r="J49" s="2749">
        <v>4</v>
      </c>
      <c r="K49" s="3179" t="str">
        <f>IF(项目基本情况!E8="房地产抵押价值","房地产抵押价值","抵押担保权已注销时的房地产抵押价值")</f>
        <v>房地产抵押价值</v>
      </c>
      <c r="L49" s="3179"/>
      <c r="M49" s="3182">
        <f ca="1">IF(项目基本情况!E8="房地产抵押价值",H107,H109)</f>
        <v>27538</v>
      </c>
      <c r="N49" s="3182"/>
      <c r="O49" s="3182"/>
    </row>
    <row r="50" spans="1:35" ht="25.5" customHeight="1">
      <c r="A50" s="2777"/>
      <c r="B50" s="3227" t="s">
        <v>2030</v>
      </c>
      <c r="C50" s="3227"/>
      <c r="D50" s="2778"/>
      <c r="E50" s="338"/>
      <c r="F50" s="2650"/>
      <c r="G50" s="3211"/>
      <c r="H50" s="2530" t="s">
        <v>2877</v>
      </c>
      <c r="I50" s="2529"/>
      <c r="J50" s="3178" t="s">
        <v>2031</v>
      </c>
      <c r="K50" s="3178"/>
      <c r="L50" s="3178"/>
      <c r="M50" s="3178"/>
      <c r="N50" s="3178"/>
      <c r="O50" s="3178"/>
    </row>
    <row r="51" spans="1:35" ht="20.45" customHeight="1">
      <c r="A51" s="2779"/>
      <c r="B51" s="3227" t="s">
        <v>2032</v>
      </c>
      <c r="C51" s="3227"/>
      <c r="D51" s="1247"/>
      <c r="E51" s="333"/>
      <c r="F51" s="2650"/>
      <c r="G51" s="3212"/>
      <c r="H51" s="2530" t="s">
        <v>2878</v>
      </c>
      <c r="I51" s="2529"/>
      <c r="J51" s="2750" t="s">
        <v>2033</v>
      </c>
      <c r="K51" s="3179" t="s">
        <v>2034</v>
      </c>
      <c r="L51" s="3179"/>
      <c r="M51" s="2750" t="s">
        <v>2035</v>
      </c>
      <c r="N51" s="2750" t="s">
        <v>2036</v>
      </c>
      <c r="O51" s="2750" t="s">
        <v>2037</v>
      </c>
    </row>
    <row r="52" spans="1:35" ht="24" customHeight="1">
      <c r="A52" s="2558" t="s">
        <v>2038</v>
      </c>
      <c r="B52" s="3227" t="s">
        <v>2039</v>
      </c>
      <c r="C52" s="3227"/>
      <c r="D52" s="1247">
        <f ca="1">ROUND(D45*'数据-取费表'!B41/(1+'数据-取费表'!C42),0)</f>
        <v>1442</v>
      </c>
      <c r="E52" s="2557" t="s">
        <v>2040</v>
      </c>
      <c r="F52" s="2780">
        <f>'数据-取费表'!B41</f>
        <v>5.5000000000000007E-2</v>
      </c>
      <c r="G52" s="2781"/>
      <c r="H52" s="2770"/>
      <c r="I52" s="1993"/>
      <c r="J52" s="2749">
        <v>1</v>
      </c>
      <c r="K52" s="3204" t="s">
        <v>2041</v>
      </c>
      <c r="L52" s="3204"/>
      <c r="M52" s="2751" t="b">
        <f>D48</f>
        <v>0</v>
      </c>
      <c r="N52" s="2749" t="str">
        <f>E48</f>
        <v>销售额×税（费）率</v>
      </c>
      <c r="O52" s="2752">
        <f>F48</f>
        <v>5.5000000000000007E-2</v>
      </c>
    </row>
    <row r="53" spans="1:35" ht="12" customHeight="1">
      <c r="A53" s="2558" t="s">
        <v>2042</v>
      </c>
      <c r="B53" s="3228" t="s">
        <v>3037</v>
      </c>
      <c r="C53" s="3229"/>
      <c r="D53" s="1247">
        <f ca="1">ROUND(D45*'数据-取费表'!B41/(1+'数据-取费表'!C42),0)</f>
        <v>1442</v>
      </c>
      <c r="E53" s="2557" t="s">
        <v>2040</v>
      </c>
      <c r="F53" s="2780">
        <f>'数据-取费表'!B41</f>
        <v>5.5000000000000007E-2</v>
      </c>
      <c r="G53" s="2781"/>
      <c r="H53" s="2770"/>
      <c r="I53" s="1993"/>
      <c r="J53" s="2749">
        <v>2</v>
      </c>
      <c r="K53" s="3204" t="s">
        <v>2043</v>
      </c>
      <c r="L53" s="3204"/>
      <c r="M53" s="2751">
        <f t="shared" ref="M53:O54" ca="1" si="0">D55</f>
        <v>14</v>
      </c>
      <c r="N53" s="2749" t="str">
        <f t="shared" si="0"/>
        <v>销售额×税（费）率</v>
      </c>
      <c r="O53" s="2752" t="str">
        <f t="shared" si="0"/>
        <v>免征</v>
      </c>
    </row>
    <row r="54" spans="1:35" ht="12" customHeight="1">
      <c r="A54" s="2558" t="s">
        <v>2044</v>
      </c>
      <c r="B54" s="3228" t="s">
        <v>3038</v>
      </c>
      <c r="C54" s="3229"/>
      <c r="D54" s="1247">
        <f ca="1">C68</f>
        <v>1442</v>
      </c>
      <c r="E54" s="333" t="s">
        <v>2045</v>
      </c>
      <c r="F54" s="2780">
        <f>'数据-取费表'!B41</f>
        <v>5.5000000000000007E-2</v>
      </c>
      <c r="G54" s="2781"/>
      <c r="H54" s="2782"/>
      <c r="I54" s="1993"/>
      <c r="J54" s="2749">
        <v>3</v>
      </c>
      <c r="K54" s="3204" t="s">
        <v>2046</v>
      </c>
      <c r="L54" s="3204"/>
      <c r="M54" s="2751">
        <f t="shared" ca="1" si="0"/>
        <v>15612</v>
      </c>
      <c r="N54" s="2749" t="str">
        <f t="shared" si="0"/>
        <v>增值额×税（费）率</v>
      </c>
      <c r="O54" s="2753" t="str">
        <f t="shared" si="0"/>
        <v>免征</v>
      </c>
    </row>
    <row r="55" spans="1:35" ht="24" customHeight="1">
      <c r="A55" s="3267" t="s">
        <v>2047</v>
      </c>
      <c r="B55" s="3245"/>
      <c r="C55" s="3245"/>
      <c r="D55" s="2547">
        <f ca="1">IF(H55="个人住宅",0,ROUND(D45*I55,0))</f>
        <v>14</v>
      </c>
      <c r="E55" s="2557" t="s">
        <v>2048</v>
      </c>
      <c r="F55" s="2780" t="str">
        <f>IF(H55="正常",I55,"免征")</f>
        <v>免征</v>
      </c>
      <c r="G55" s="2781"/>
      <c r="H55" s="2776"/>
      <c r="I55" s="170">
        <f>'数据-取费表'!B49</f>
        <v>5.0000000000000001E-4</v>
      </c>
      <c r="J55" s="2749">
        <f>IF(H59="非个人房产","",4)</f>
        <v>4</v>
      </c>
      <c r="K55" s="3204" t="str">
        <f>IF(H59="非个人房产","——","个人所得税")</f>
        <v>个人所得税</v>
      </c>
      <c r="L55" s="3204"/>
      <c r="M55" s="2754">
        <f ca="1">D59</f>
        <v>262</v>
      </c>
      <c r="N55" s="2228" t="str">
        <f>E59</f>
        <v>差额计税</v>
      </c>
      <c r="O55" s="2755">
        <f>F59</f>
        <v>0.01</v>
      </c>
    </row>
    <row r="56" spans="1:35" ht="24.75">
      <c r="A56" s="3267" t="s">
        <v>2049</v>
      </c>
      <c r="B56" s="3245"/>
      <c r="C56" s="3245"/>
      <c r="D56" s="2547">
        <f ca="1">IF(H56="个人住宅",D57,D58)</f>
        <v>15612</v>
      </c>
      <c r="E56" s="2557" t="s">
        <v>2050</v>
      </c>
      <c r="F56" s="2780" t="str">
        <f>IF(H56="正常",F58,"免征")</f>
        <v>免征</v>
      </c>
      <c r="G56" s="2783" t="s">
        <v>2051</v>
      </c>
      <c r="H56" s="2784"/>
      <c r="I56" s="1994"/>
      <c r="J56" s="2749" t="str">
        <f>IF(项目基本情况!K6="上海银行",IF(J55="",4,J55+1),"")</f>
        <v/>
      </c>
      <c r="K56" s="3185" t="str">
        <f>IF(项目基本情况!K6="上海银行","其他处置费用","")</f>
        <v/>
      </c>
      <c r="L56" s="3186"/>
      <c r="M56" s="2751" t="str">
        <f>IF(项目基本情况!K6="上海银行",M69,"")</f>
        <v/>
      </c>
      <c r="N56" s="3185" t="str">
        <f>IF(项目基本情况!K6="上海银行","包含处置中涉及的律师、诉讼、拍卖、评估等费用","")</f>
        <v/>
      </c>
      <c r="O56" s="3188"/>
    </row>
    <row r="57" spans="1:35" ht="12.75">
      <c r="A57" s="2558" t="s">
        <v>2027</v>
      </c>
      <c r="B57" s="3228" t="s">
        <v>2052</v>
      </c>
      <c r="C57" s="3229"/>
      <c r="D57" s="1775">
        <v>0</v>
      </c>
      <c r="E57" s="330" t="s">
        <v>2029</v>
      </c>
      <c r="F57" s="308"/>
      <c r="G57" s="2781"/>
      <c r="H57" s="2785"/>
      <c r="I57" s="1994"/>
      <c r="J57" s="3204">
        <f>IF(AND(J55="",J56=""),4,IF(项目基本情况!K6="上海银行",结果表!J56+1,结果表!J55+1))</f>
        <v>5</v>
      </c>
      <c r="K57" s="3204" t="s">
        <v>2053</v>
      </c>
      <c r="L57" s="2756" t="s">
        <v>2054</v>
      </c>
      <c r="M57" s="2757"/>
      <c r="N57" s="2758">
        <f ca="1">SUMIF(M52:M56,"&lt;9e307")</f>
        <v>15888</v>
      </c>
      <c r="O57" s="2759"/>
      <c r="P57" s="2919">
        <f ca="1">N57/M49</f>
        <v>0.57694821700922361</v>
      </c>
    </row>
    <row r="58" spans="1:35" ht="24.75">
      <c r="A58" s="2558" t="s">
        <v>2038</v>
      </c>
      <c r="B58" s="3228" t="s">
        <v>2055</v>
      </c>
      <c r="C58" s="3227"/>
      <c r="D58" s="2547">
        <f ca="1">IF(H58="转让取得",C81,C97)</f>
        <v>15612</v>
      </c>
      <c r="E58" s="2557" t="s">
        <v>2050</v>
      </c>
      <c r="F58" s="308" t="s">
        <v>34</v>
      </c>
      <c r="G58" s="2781"/>
      <c r="H58" s="2784"/>
      <c r="I58" s="1994"/>
      <c r="J58" s="3204"/>
      <c r="K58" s="3204"/>
      <c r="L58" s="2756" t="s">
        <v>2056</v>
      </c>
      <c r="M58" s="2760"/>
      <c r="N58" s="2761" t="str">
        <f ca="1">NUMBERSTRING(INT(N57*10000),2)&amp;"元整"</f>
        <v>壹亿伍仟捌佰捌拾捌万元整</v>
      </c>
      <c r="O58" s="2762"/>
    </row>
    <row r="59" spans="1:35" ht="24.75" thickBot="1">
      <c r="A59" s="3208" t="s">
        <v>2057</v>
      </c>
      <c r="B59" s="3209"/>
      <c r="C59" s="3209"/>
      <c r="D59" s="2786">
        <f ca="1">IF(H59="非个人房产","——",IF(H59="个人住宅（满五唯一有凭证）",0,IF(H59="个人其他（无凭证）",ROUND(D45*F59,0),ROUND(C67*F59,0))))</f>
        <v>262</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206">
        <f>J57+1</f>
        <v>6</v>
      </c>
      <c r="K59" s="3204" t="s">
        <v>2058</v>
      </c>
      <c r="L59" s="2749" t="s">
        <v>2054</v>
      </c>
      <c r="M59" s="2763"/>
      <c r="N59" s="2764">
        <f ca="1">M49-N57</f>
        <v>11650</v>
      </c>
      <c r="O59" s="2765"/>
    </row>
    <row r="60" spans="1:35" ht="12" customHeight="1">
      <c r="A60" s="1995"/>
      <c r="B60" s="1933"/>
      <c r="C60" s="1933"/>
      <c r="D60" s="1933"/>
      <c r="E60" s="1763"/>
      <c r="F60" s="1994"/>
      <c r="G60" s="1994"/>
      <c r="H60" s="1996"/>
      <c r="I60" s="134"/>
      <c r="J60" s="3207"/>
      <c r="K60" s="3204"/>
      <c r="L60" s="2756" t="s">
        <v>2056</v>
      </c>
      <c r="M60" s="2760"/>
      <c r="N60" s="2761" t="str">
        <f ca="1">NUMBERSTRING(INT(N59*10000),2)&amp;"元整"</f>
        <v>壹亿壹仟陆佰伍拾万元整</v>
      </c>
      <c r="O60" s="2762"/>
    </row>
    <row r="61" spans="1:35" ht="13.5" thickBot="1">
      <c r="A61" s="3266" t="s">
        <v>2059</v>
      </c>
      <c r="B61" s="3266"/>
      <c r="C61" s="3266"/>
      <c r="D61" s="3266"/>
      <c r="E61" s="3266"/>
      <c r="F61" s="1994"/>
      <c r="G61" s="1994"/>
      <c r="H61" s="1996"/>
      <c r="I61" s="134"/>
      <c r="J61" s="2749">
        <f>J59+1</f>
        <v>7</v>
      </c>
      <c r="K61" s="3204" t="s">
        <v>2060</v>
      </c>
      <c r="L61" s="3204"/>
      <c r="M61" s="2766"/>
      <c r="N61" s="2767">
        <f ca="1">ROUND(N59*10000/'数据-汇总表'!E3,0)</f>
        <v>5445</v>
      </c>
      <c r="O61" s="2768"/>
    </row>
    <row r="62" spans="1:35" ht="12.75">
      <c r="A62" s="3223" t="s">
        <v>2061</v>
      </c>
      <c r="B62" s="3224"/>
      <c r="C62" s="2209"/>
      <c r="D62" s="2209" t="s">
        <v>2062</v>
      </c>
      <c r="E62" s="171" t="s">
        <v>2063</v>
      </c>
      <c r="F62" s="1994"/>
      <c r="G62" s="1994"/>
      <c r="H62" s="1996"/>
      <c r="I62" s="134"/>
    </row>
    <row r="63" spans="1:35" ht="12.75">
      <c r="A63" s="178" t="s">
        <v>775</v>
      </c>
      <c r="B63" s="172" t="s">
        <v>2064</v>
      </c>
      <c r="C63" s="2790">
        <f ca="1">ROUND((C64+C65)/(1+'数据-取费表'!C42),0)</f>
        <v>26227</v>
      </c>
      <c r="D63" s="172"/>
      <c r="E63" s="173"/>
      <c r="F63" s="1994"/>
      <c r="G63" s="1994"/>
      <c r="H63" s="1996"/>
      <c r="I63" s="134"/>
      <c r="J63" s="3187" t="s">
        <v>2065</v>
      </c>
      <c r="K63" s="1501" t="s">
        <v>2066</v>
      </c>
      <c r="L63" s="1501">
        <f ca="1">IF(M49&gt;10000,M49*0.5%,IF(AND(M49&gt;1000,M49&lt;=10000),M49*1%,IF(AND(M49&gt;100,M49&lt;=1000),M49*3%,IF(AND(M49&gt;10,M49&lt;=100),M49*5%,M49*8%))))</f>
        <v>137.69</v>
      </c>
      <c r="M63" s="308">
        <f ca="1">ROUND(L63,1)</f>
        <v>137.69999999999999</v>
      </c>
      <c r="N63" s="2769"/>
      <c r="Z63" s="1938"/>
      <c r="AI63" s="1939"/>
    </row>
    <row r="64" spans="1:35" ht="14.25" customHeight="1">
      <c r="A64" s="174" t="s">
        <v>770</v>
      </c>
      <c r="B64" s="175" t="s">
        <v>2067</v>
      </c>
      <c r="C64" s="2791">
        <f ca="1">D45</f>
        <v>27538</v>
      </c>
      <c r="D64" s="175" t="s">
        <v>32</v>
      </c>
      <c r="E64" s="177"/>
      <c r="F64" s="1994"/>
      <c r="G64" s="1994"/>
      <c r="H64" s="1996"/>
      <c r="I64" s="134"/>
      <c r="J64" s="3187"/>
      <c r="K64" s="1501" t="s">
        <v>2068</v>
      </c>
      <c r="L64" s="1501">
        <f ca="1">IF(M49&gt;2000,M49*0.5%,IF(AND(M49&gt;1000,M49&lt;=2000),M49*0.6%,IF(AND(M49&gt;500,M49&lt;=1000),M49*0.7%,IF(AND(M49&gt;200,M49&lt;=500),M49*0.8%,IF(AND(M49&gt;100,M49&lt;=200),M49*0.9%,IF(AND(M49&gt;50,M49&lt;=100),M49*1%,IF(AND(M49&gt;20,M49&lt;=50),M49*1.5%,IF(AND(M49&gt;10,M49&lt;=20),M49*2%,IF(AND(M49&gt;1,M49&lt;=10),M49*2.5%)))))))))</f>
        <v>137.69</v>
      </c>
      <c r="M64" s="308">
        <f t="shared" ref="M64:M65" ca="1" si="1">ROUND(L64,1)</f>
        <v>137.69999999999999</v>
      </c>
      <c r="N64" s="2770" t="s">
        <v>2069</v>
      </c>
      <c r="Z64" s="1938"/>
      <c r="AI64" s="1939"/>
    </row>
    <row r="65" spans="1:35" ht="14.25" customHeight="1">
      <c r="A65" s="174" t="s">
        <v>771</v>
      </c>
      <c r="B65" s="175" t="s">
        <v>2070</v>
      </c>
      <c r="C65" s="2792"/>
      <c r="D65" s="175"/>
      <c r="E65" s="177"/>
      <c r="F65" s="1994"/>
      <c r="G65" s="1994"/>
      <c r="H65" s="1996"/>
      <c r="I65" s="134"/>
      <c r="J65" s="3187"/>
      <c r="K65" s="1501" t="s">
        <v>2071</v>
      </c>
      <c r="L65" s="1501">
        <f ca="1">IF(M49&gt;1000,M49*0.1%,IF(AND(M49&gt;500,M49&lt;=1000),M49*0.5%,IF(AND(M49&gt;50,M49&lt;=500),M49*1%,IF(AND(M49&gt;1,M49&lt;=50),M49*1.5%))))</f>
        <v>27.538</v>
      </c>
      <c r="M65" s="308">
        <f t="shared" ca="1" si="1"/>
        <v>27.5</v>
      </c>
      <c r="N65" s="2770" t="s">
        <v>2069</v>
      </c>
      <c r="Z65" s="1938"/>
      <c r="AI65" s="1939"/>
    </row>
    <row r="66" spans="1:35" ht="14.25" customHeight="1">
      <c r="A66" s="178" t="s">
        <v>772</v>
      </c>
      <c r="B66" s="179" t="s">
        <v>2072</v>
      </c>
      <c r="C66" s="2793"/>
      <c r="D66" s="179" t="s">
        <v>32</v>
      </c>
      <c r="E66" s="1509" t="s">
        <v>1337</v>
      </c>
      <c r="F66" s="1994"/>
      <c r="G66" s="1994"/>
      <c r="H66" s="1996"/>
      <c r="I66" s="134"/>
      <c r="J66" s="3187"/>
      <c r="K66" s="1501" t="s">
        <v>2073</v>
      </c>
      <c r="L66" s="1501">
        <f ca="1">M49*0.5%</f>
        <v>137.69</v>
      </c>
      <c r="M66" s="308">
        <f ca="1">IF(L66&gt;0.5,0.5,ROUND(L66,0))</f>
        <v>0.5</v>
      </c>
      <c r="N66" s="2770" t="s">
        <v>2074</v>
      </c>
      <c r="Z66" s="1938"/>
      <c r="AI66" s="1939"/>
    </row>
    <row r="67" spans="1:35" ht="14.25" customHeight="1">
      <c r="A67" s="178" t="s">
        <v>773</v>
      </c>
      <c r="B67" s="179" t="s">
        <v>2075</v>
      </c>
      <c r="C67" s="2794">
        <f ca="1">C63-C66</f>
        <v>26227</v>
      </c>
      <c r="D67" s="175" t="s">
        <v>32</v>
      </c>
      <c r="E67" s="177"/>
      <c r="F67" s="1994"/>
      <c r="G67" s="1994"/>
      <c r="H67" s="1996"/>
      <c r="I67" s="134"/>
      <c r="J67" s="3187"/>
      <c r="K67" s="1501" t="s">
        <v>2076</v>
      </c>
      <c r="L67" s="1501">
        <f ca="1">IF(M49&gt;=10000,(8.25+(M49-10000)*0.01%),IF(AND(M49&gt;=8000,M49&lt;10000),(7.85+(M49-8000)*0.02%),IF(AND(M49&gt;=5000,M49&lt;8000),(6.65+(M49-5000)*0.04%),IF(AND(M49&gt;=2000,M49&lt;5000),(4.25+(PM49-2000)*0.08%),IF(AND(M49&gt;=1000,M49&lt;2000),(2.75+(M49-1000)*0.15%),IF(AND(M49&gt;=100,M49&lt;1000),(0.5+(M49-100)*0.25%),IF(AND(M49&gt;0,M49&lt;100),M49*0.5%)))))))</f>
        <v>10.0038</v>
      </c>
      <c r="M67" s="308">
        <f ca="1">ROUND(L67*0.9,1)</f>
        <v>9</v>
      </c>
      <c r="N67" s="2769"/>
      <c r="Z67" s="1938"/>
      <c r="AI67" s="1939"/>
    </row>
    <row r="68" spans="1:35" ht="14.25" customHeight="1" thickBot="1">
      <c r="A68" s="181" t="s">
        <v>774</v>
      </c>
      <c r="B68" s="182" t="s">
        <v>2077</v>
      </c>
      <c r="C68" s="2795">
        <f ca="1">IF(C67&lt;=0,0,ROUND(C67*D68,0))</f>
        <v>1442</v>
      </c>
      <c r="D68" s="2796">
        <f>'数据-取费表'!B41</f>
        <v>5.5000000000000007E-2</v>
      </c>
      <c r="E68" s="184"/>
      <c r="F68" s="1994"/>
      <c r="G68" s="1994"/>
      <c r="H68" s="1996"/>
      <c r="I68" s="134"/>
      <c r="J68" s="3187"/>
      <c r="K68" s="1501" t="s">
        <v>2078</v>
      </c>
      <c r="L68" s="1501">
        <f ca="1">IF(M49&gt;10000,M49*0.5%,IF(AND(M49&gt;5000,M49&lt;=10000),M49*1%,IF(AND(M49&gt;1000,M49&lt;=5000),M49*2%,IF(AND(M49&gt;200,M49&lt;=1000),M49*3%,M49*5%))))</f>
        <v>137.69</v>
      </c>
      <c r="M68" s="308">
        <f ca="1">ROUND(L68,1)</f>
        <v>137.69999999999999</v>
      </c>
      <c r="N68" s="2769"/>
      <c r="Z68" s="1938"/>
      <c r="AI68" s="1939"/>
    </row>
    <row r="69" spans="1:35" s="1958" customFormat="1" ht="16.5" customHeight="1">
      <c r="A69" s="1997"/>
      <c r="B69" s="1998"/>
      <c r="C69" s="1999"/>
      <c r="D69" s="2000"/>
      <c r="E69" s="2001"/>
      <c r="F69" s="1763"/>
      <c r="G69" s="1763"/>
      <c r="H69" s="1762"/>
      <c r="I69" s="1933"/>
      <c r="J69" s="3187"/>
      <c r="K69" s="1501" t="s">
        <v>2079</v>
      </c>
      <c r="L69" s="1501"/>
      <c r="M69" s="308">
        <f ca="1">ROUND(SUM(M63:M68),0)</f>
        <v>450</v>
      </c>
      <c r="N69" s="2771">
        <f ca="1">M69/M49</f>
        <v>1.6341055995351877E-2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31" t="s">
        <v>2080</v>
      </c>
      <c r="B70" s="3232"/>
      <c r="C70" s="3232"/>
      <c r="D70" s="3232"/>
      <c r="E70" s="3232"/>
      <c r="F70" s="3232"/>
      <c r="G70" s="3232"/>
      <c r="H70" s="3232"/>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23" t="s">
        <v>2061</v>
      </c>
      <c r="B71" s="3224"/>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26227</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131</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28" t="s">
        <v>2088</v>
      </c>
      <c r="F76" s="3227"/>
      <c r="G76" s="3227"/>
      <c r="H76" s="323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131</v>
      </c>
      <c r="D78" s="2803">
        <f>'数据-取费表'!B43</f>
        <v>5.000000000000001E-3</v>
      </c>
      <c r="E78" s="3220" t="s">
        <v>2092</v>
      </c>
      <c r="F78" s="3221"/>
      <c r="G78" s="3221"/>
      <c r="H78" s="322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26096</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199.20610687022901</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15612</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1" t="s">
        <v>2096</v>
      </c>
      <c r="B83" s="3232"/>
      <c r="C83" s="3232"/>
      <c r="D83" s="3232"/>
      <c r="E83" s="3232"/>
      <c r="F83" s="3232"/>
      <c r="G83" s="3232"/>
      <c r="H83" s="323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23" t="s">
        <v>2061</v>
      </c>
      <c r="B84" s="3224"/>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26227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131</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89" t="s">
        <v>2871</v>
      </c>
      <c r="H90" s="3190"/>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20" t="s">
        <v>2105</v>
      </c>
      <c r="F91" s="3221"/>
      <c r="G91" s="322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20" t="s">
        <v>2108</v>
      </c>
      <c r="F92" s="3221"/>
      <c r="G92" s="3221"/>
      <c r="H92" s="3222"/>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131</v>
      </c>
      <c r="D93" s="2803">
        <f>'数据-取费表'!B43</f>
        <v>5.000000000000001E-3</v>
      </c>
      <c r="E93" s="3220" t="s">
        <v>2092</v>
      </c>
      <c r="F93" s="3221"/>
      <c r="G93" s="3221"/>
      <c r="H93" s="322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68" t="s">
        <v>2112</v>
      </c>
      <c r="F94" s="3269"/>
      <c r="G94" s="3269"/>
      <c r="H94" s="327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26096</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199.20610687022901</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15612</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70" t="s">
        <v>2114</v>
      </c>
      <c r="B100" s="3171"/>
      <c r="C100" s="3171"/>
      <c r="D100" s="3205"/>
      <c r="E100" s="3171" t="s">
        <v>2115</v>
      </c>
      <c r="F100" s="3171"/>
      <c r="G100" s="3171"/>
      <c r="H100" s="3205"/>
      <c r="I100" s="134"/>
    </row>
    <row r="101" spans="1:35" ht="18.75" customHeight="1">
      <c r="A101" s="3213" t="s">
        <v>2116</v>
      </c>
      <c r="B101" s="3214"/>
      <c r="C101" s="2811" t="str">
        <f>C4</f>
        <v>成本法</v>
      </c>
      <c r="D101" s="2812" t="str">
        <f>D4</f>
        <v>收益法</v>
      </c>
      <c r="E101" s="3183" t="s">
        <v>2117</v>
      </c>
      <c r="F101" s="3184"/>
      <c r="G101" s="2013" t="s">
        <v>2118</v>
      </c>
      <c r="H101" s="2821">
        <f ca="1">H118</f>
        <v>27538</v>
      </c>
      <c r="I101" s="134"/>
    </row>
    <row r="102" spans="1:35" ht="18.75" customHeight="1">
      <c r="A102" s="3215" t="s">
        <v>2119</v>
      </c>
      <c r="B102" s="2810" t="s">
        <v>2118</v>
      </c>
      <c r="C102" s="2811">
        <f ca="1">C19</f>
        <v>29235</v>
      </c>
      <c r="D102" s="2812">
        <f ca="1">D19</f>
        <v>25840</v>
      </c>
      <c r="E102" s="3183"/>
      <c r="F102" s="3184"/>
      <c r="G102" s="2013" t="s">
        <v>2120</v>
      </c>
      <c r="H102" s="2781">
        <f ca="1">I118</f>
        <v>12871</v>
      </c>
      <c r="I102" s="134"/>
    </row>
    <row r="103" spans="1:35" ht="42.75" customHeight="1">
      <c r="A103" s="3215"/>
      <c r="B103" s="2810" t="s">
        <v>2120</v>
      </c>
      <c r="C103" s="2813">
        <f ca="1">C20</f>
        <v>13664</v>
      </c>
      <c r="D103" s="2814">
        <f ca="1">D20</f>
        <v>12077</v>
      </c>
      <c r="E103" s="3176" t="s">
        <v>2121</v>
      </c>
      <c r="F103" s="3177"/>
      <c r="G103" s="2014" t="s">
        <v>2122</v>
      </c>
      <c r="H103" s="2821">
        <f>IF(D36="正常操作",H104+H105+H106,H105+H106)</f>
        <v>0</v>
      </c>
      <c r="I103" s="134"/>
    </row>
    <row r="104" spans="1:35" ht="18.75" customHeight="1">
      <c r="A104" s="3215" t="s">
        <v>2123</v>
      </c>
      <c r="B104" s="2815" t="s">
        <v>2118</v>
      </c>
      <c r="C104" s="2816">
        <f ca="1">H118</f>
        <v>27538</v>
      </c>
      <c r="D104" s="2817"/>
      <c r="E104" s="1860" t="s">
        <v>2124</v>
      </c>
      <c r="F104" s="1851"/>
      <c r="G104" s="2014" t="s">
        <v>2122</v>
      </c>
      <c r="H104" s="2822">
        <f>IF(D36="同一抵押权人同一抵押物续贷",C36&amp;"（续贷，未扣减，详见特别提示）",C36)</f>
        <v>0</v>
      </c>
      <c r="I104" s="134"/>
    </row>
    <row r="105" spans="1:35" ht="18.75" customHeight="1" thickBot="1">
      <c r="A105" s="3225"/>
      <c r="B105" s="2818" t="s">
        <v>2120</v>
      </c>
      <c r="C105" s="2819">
        <f ca="1">I118</f>
        <v>12871</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16" t="str">
        <f>IF(项目基本情况!E8="已注销","——","3.房地产抵押价值")</f>
        <v>3.房地产抵押价值</v>
      </c>
      <c r="F107" s="3184"/>
      <c r="G107" s="2013" t="s">
        <v>2118</v>
      </c>
      <c r="H107" s="2821">
        <f ca="1">IF(E107="——","——",H101-H103)</f>
        <v>27538</v>
      </c>
      <c r="I107" s="134"/>
    </row>
    <row r="108" spans="1:35" ht="18.75" customHeight="1">
      <c r="A108" s="134"/>
      <c r="B108" s="134"/>
      <c r="C108" s="134"/>
      <c r="D108" s="134"/>
      <c r="E108" s="3216"/>
      <c r="F108" s="3184"/>
      <c r="G108" s="2013" t="s">
        <v>2120</v>
      </c>
      <c r="H108" s="2781">
        <f ca="1">ROUND(H107*10000/'数据-汇总表'!E3,0)</f>
        <v>12871</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184"/>
      <c r="G109" s="2013" t="s">
        <v>2118</v>
      </c>
      <c r="H109" s="2824" t="str">
        <f>IF(E109="——","——",H101-H105-H106)</f>
        <v>——</v>
      </c>
      <c r="I109" s="134"/>
    </row>
    <row r="110" spans="1:35" ht="18.75" customHeight="1">
      <c r="A110" s="134"/>
      <c r="B110" s="134"/>
      <c r="C110" s="134"/>
      <c r="D110" s="134"/>
      <c r="E110" s="3216"/>
      <c r="F110" s="3184"/>
      <c r="G110" s="2013" t="s">
        <v>2120</v>
      </c>
      <c r="H110" s="2781" t="str">
        <f>IF(H109="——","——",ROUND(H109*10000/'数据-汇总表'!E3,0))</f>
        <v>——</v>
      </c>
      <c r="I110" s="134"/>
    </row>
    <row r="111" spans="1:35" ht="18.75" customHeight="1">
      <c r="A111" s="134"/>
      <c r="B111" s="134"/>
      <c r="C111" s="134"/>
      <c r="D111" s="134"/>
      <c r="E111" s="3217" t="str">
        <f>IF(项目基本情况!E9="抵押净值",IF(OR(项目基本情况!E8="已注销",项目基本情况!E8="房地产抵押价值"),"4.抵押净值","5.抵押净值"),"——")</f>
        <v>——</v>
      </c>
      <c r="F111" s="3203"/>
      <c r="G111" s="2013" t="s">
        <v>2118</v>
      </c>
      <c r="H111" s="2821" t="str">
        <f>IF(E111="——","——",N59)</f>
        <v>——</v>
      </c>
      <c r="I111" s="134"/>
    </row>
    <row r="112" spans="1:35" ht="18.75" customHeight="1" thickBot="1">
      <c r="A112" s="134"/>
      <c r="B112" s="134"/>
      <c r="C112" s="134"/>
      <c r="D112" s="134"/>
      <c r="E112" s="3218"/>
      <c r="F112" s="3219"/>
      <c r="G112" s="2016" t="s">
        <v>2120</v>
      </c>
      <c r="H112" s="2825" t="str">
        <f>IF(E111="——","——",N61)</f>
        <v>——</v>
      </c>
      <c r="I112" s="134"/>
    </row>
    <row r="113" spans="1:27" ht="18.75" customHeight="1">
      <c r="A113" s="134"/>
      <c r="B113" s="134"/>
      <c r="C113" s="134"/>
      <c r="D113" s="134"/>
      <c r="E113" s="3226" t="s">
        <v>2126</v>
      </c>
      <c r="F113" s="3226"/>
      <c r="G113" s="3226"/>
      <c r="H113" s="3226"/>
      <c r="I113" s="134"/>
    </row>
    <row r="114" spans="1:27" ht="3.75" customHeight="1">
      <c r="A114" s="1933"/>
      <c r="B114" s="1933"/>
      <c r="C114" s="1933"/>
      <c r="D114" s="1933"/>
      <c r="E114" s="1995"/>
      <c r="F114" s="1995"/>
      <c r="G114" s="1995"/>
      <c r="H114" s="1995"/>
      <c r="I114" s="1933"/>
    </row>
    <row r="115" spans="1:27" ht="18.75" customHeight="1">
      <c r="A115" s="3237" t="s">
        <v>2128</v>
      </c>
      <c r="B115" s="3238"/>
      <c r="C115" s="3238"/>
      <c r="D115" s="3238"/>
      <c r="E115" s="3238"/>
      <c r="F115" s="3238"/>
      <c r="G115" s="3238"/>
      <c r="H115" s="3238"/>
      <c r="I115" s="3239"/>
    </row>
    <row r="116" spans="1:27" ht="27" customHeight="1">
      <c r="A116" s="3191" t="s">
        <v>2129</v>
      </c>
      <c r="B116" s="3195" t="s">
        <v>2130</v>
      </c>
      <c r="C116" s="3195" t="s">
        <v>2131</v>
      </c>
      <c r="D116" s="3201" t="s">
        <v>2132</v>
      </c>
      <c r="E116" s="3202"/>
      <c r="F116" s="3233" t="s">
        <v>2133</v>
      </c>
      <c r="G116" s="3233"/>
      <c r="H116" s="3191" t="s">
        <v>2134</v>
      </c>
      <c r="I116" s="3191"/>
    </row>
    <row r="117" spans="1:27" ht="18.75" customHeight="1">
      <c r="A117" s="3191"/>
      <c r="B117" s="3196"/>
      <c r="C117" s="3196"/>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21395.8</v>
      </c>
      <c r="C118" s="2552">
        <f>M19</f>
        <v>78780.759999999995</v>
      </c>
      <c r="D118" s="2552">
        <f ca="1">ROUND(IF(D32="总价",C34,E118*B118/10000),0)</f>
        <v>21893</v>
      </c>
      <c r="E118" s="2552">
        <f ca="1">ROUND(IF(C33="自定义",IF(D32="楼面单价",C34,D118*10000/B118),I118-G118),0)</f>
        <v>10233</v>
      </c>
      <c r="F118" s="2552">
        <f ca="1">ROUND(IF(D32="总价",C35,G118*B118/10000),0)</f>
        <v>5645</v>
      </c>
      <c r="G118" s="2552">
        <f ca="1">ROUND(IF(D32="楼面单价",C35,F118*10000/B118),0)</f>
        <v>2638</v>
      </c>
      <c r="H118" s="2552">
        <f ca="1">ROUND(IF(D32="总价",C32,I118*B118/10000),0)</f>
        <v>27538</v>
      </c>
      <c r="I118" s="2552">
        <f ca="1">ROUND(IF(D32="楼面单价",C32,H118*10000/B118),0)</f>
        <v>12871</v>
      </c>
    </row>
    <row r="119" spans="1:27" ht="18.75" customHeight="1">
      <c r="A119" s="3191" t="s">
        <v>2138</v>
      </c>
      <c r="B119" s="3191"/>
      <c r="C119" s="3191"/>
      <c r="D119" s="3197" t="str">
        <f ca="1">NUMBERSTRING(INT(D118*10000),2)&amp;"元整"</f>
        <v>贰亿壹仟捌佰玖拾叁万元整</v>
      </c>
      <c r="E119" s="3198"/>
      <c r="F119" s="3197" t="str">
        <f ca="1">NUMBERSTRING(INT(F118*10000),2)&amp;"元整"</f>
        <v>伍仟陆佰肆拾伍万元整</v>
      </c>
      <c r="G119" s="3198"/>
      <c r="H119" s="3197" t="str">
        <f ca="1">NUMBERSTRING(INT(H118*10000),2)&amp;"元整"</f>
        <v>贰亿柒仟伍佰叁拾捌万元整</v>
      </c>
      <c r="I119" s="3198"/>
    </row>
    <row r="120" spans="1:27" ht="18.75" customHeight="1">
      <c r="A120" s="3192" t="str">
        <f>IF(项目基本情况!B9="房地产市场价值","",MID(E103,3,LEN(E103)-2))</f>
        <v>估价师知悉的法定优先受偿款</v>
      </c>
      <c r="B120" s="3193"/>
      <c r="C120" s="3194"/>
      <c r="D120" s="3192">
        <f>H103</f>
        <v>0</v>
      </c>
      <c r="E120" s="3193"/>
      <c r="F120" s="3193"/>
      <c r="G120" s="3193"/>
      <c r="H120" s="3193"/>
      <c r="I120" s="319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4" t="s">
        <v>2138</v>
      </c>
      <c r="B121" s="3235"/>
      <c r="C121" s="3236"/>
      <c r="D121" s="3197" t="str">
        <f>IF(D120=0,"零元整",NUMBERSTRING(INT(D120*10000),2)&amp;"元整")</f>
        <v>零元整</v>
      </c>
      <c r="E121" s="3199"/>
      <c r="F121" s="3199"/>
      <c r="G121" s="3199"/>
      <c r="H121" s="3199"/>
      <c r="I121" s="3198"/>
      <c r="AA121" s="734"/>
    </row>
    <row r="122" spans="1:27" ht="18.75" customHeight="1">
      <c r="A122" s="3203" t="str">
        <f>IF(项目基本情况!B9="房地产市场价值","",MID(E107,3,LEN(E107)-2))</f>
        <v>房地产抵押价值</v>
      </c>
      <c r="B122" s="3203"/>
      <c r="C122" s="3203"/>
      <c r="D122" s="3192">
        <f ca="1">H107</f>
        <v>27538</v>
      </c>
      <c r="E122" s="3193"/>
      <c r="F122" s="3193"/>
      <c r="G122" s="3193"/>
      <c r="H122" s="3193"/>
      <c r="I122" s="3194"/>
      <c r="AA122" s="734"/>
    </row>
    <row r="123" spans="1:27" ht="18.75" customHeight="1">
      <c r="A123" s="3191" t="s">
        <v>2138</v>
      </c>
      <c r="B123" s="3191"/>
      <c r="C123" s="3191"/>
      <c r="D123" s="3197" t="str">
        <f ca="1">NUMBERSTRING(INT(D122*10000),2)&amp;"元整"</f>
        <v>贰亿柒仟伍佰叁拾捌万元整</v>
      </c>
      <c r="E123" s="3199"/>
      <c r="F123" s="3199"/>
      <c r="G123" s="3199"/>
      <c r="H123" s="3199"/>
      <c r="I123" s="3198"/>
      <c r="AA123" s="734"/>
    </row>
    <row r="124" spans="1:27" ht="18.75" customHeight="1">
      <c r="A124" s="3203" t="str">
        <f>IF(项目基本情况!B9="房地产市场价值","",MID(E109,3,LEN(E109)-2))</f>
        <v/>
      </c>
      <c r="B124" s="3203"/>
      <c r="C124" s="3203"/>
      <c r="D124" s="3192" t="str">
        <f>H109</f>
        <v>——</v>
      </c>
      <c r="E124" s="3193"/>
      <c r="F124" s="3193"/>
      <c r="G124" s="3193"/>
      <c r="H124" s="3193"/>
      <c r="I124" s="3194"/>
      <c r="AA124" s="734"/>
    </row>
    <row r="125" spans="1:27" ht="18.75" customHeight="1">
      <c r="A125" s="3191" t="s">
        <v>2138</v>
      </c>
      <c r="B125" s="3191"/>
      <c r="C125" s="3191"/>
      <c r="D125" s="3197" t="e">
        <f>NUMBERSTRING(INT(D124*10000),2)&amp;"元整"</f>
        <v>#VALUE!</v>
      </c>
      <c r="E125" s="3199"/>
      <c r="F125" s="3199"/>
      <c r="G125" s="3199"/>
      <c r="H125" s="3199"/>
      <c r="I125" s="3198"/>
      <c r="AA125" s="734"/>
    </row>
    <row r="126" spans="1:27" ht="18.75" customHeight="1">
      <c r="A126" s="3203" t="str">
        <f>IF(项目基本情况!B9="房地产市场价值","",MID(E111,3,LEN(E111)-2))</f>
        <v/>
      </c>
      <c r="B126" s="3203"/>
      <c r="C126" s="3203"/>
      <c r="D126" s="3192" t="str">
        <f>H111</f>
        <v>——</v>
      </c>
      <c r="E126" s="3193"/>
      <c r="F126" s="3193"/>
      <c r="G126" s="3193"/>
      <c r="H126" s="3193"/>
      <c r="I126" s="3194"/>
      <c r="AA126" s="734"/>
    </row>
    <row r="127" spans="1:27" ht="18.75" customHeight="1">
      <c r="A127" s="3191" t="s">
        <v>2138</v>
      </c>
      <c r="B127" s="3191"/>
      <c r="C127" s="3191"/>
      <c r="D127" s="3197" t="e">
        <f>NUMBERSTRING(INT(D126*10000),2)&amp;"元整"</f>
        <v>#VALUE!</v>
      </c>
      <c r="E127" s="3199"/>
      <c r="F127" s="3199"/>
      <c r="G127" s="3199"/>
      <c r="H127" s="3199"/>
      <c r="I127" s="3198"/>
      <c r="AA127" s="734"/>
    </row>
    <row r="128" spans="1:27" ht="21.75" customHeight="1">
      <c r="A128" s="3200" t="s">
        <v>2139</v>
      </c>
      <c r="B128" s="3200"/>
      <c r="C128" s="3200"/>
      <c r="D128" s="3200"/>
      <c r="E128" s="3200"/>
      <c r="F128" s="3200"/>
      <c r="G128" s="3200"/>
      <c r="H128" s="3200"/>
      <c r="I128" s="3200"/>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7" t="str">
        <f>项目基本情况!B1</f>
        <v>北京市房地产抵押价值预评估</v>
      </c>
      <c r="C37" s="3077"/>
      <c r="D37" s="3077"/>
      <c r="E37" s="3077"/>
      <c r="F37" s="3077"/>
      <c r="G37" s="3077"/>
      <c r="H37" s="3077"/>
      <c r="I37" s="3077"/>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21395.8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1" t="s">
        <v>2467</v>
      </c>
      <c r="D4" s="3292"/>
      <c r="E4" s="3293" t="s">
        <v>2468</v>
      </c>
      <c r="F4" s="3294"/>
      <c r="G4" s="3291" t="s">
        <v>2469</v>
      </c>
      <c r="H4" s="3292"/>
      <c r="I4" s="3291" t="s">
        <v>2470</v>
      </c>
      <c r="J4" s="3292"/>
      <c r="K4" s="567" t="s">
        <v>2471</v>
      </c>
      <c r="L4" s="1044"/>
      <c r="M4" s="1045"/>
      <c r="N4" s="1045"/>
      <c r="O4" s="1045"/>
      <c r="P4" s="3295" t="s">
        <v>2472</v>
      </c>
      <c r="Q4" s="3296"/>
      <c r="R4" s="3278" t="s">
        <v>2468</v>
      </c>
      <c r="S4" s="3279"/>
      <c r="T4" s="3278" t="s">
        <v>2469</v>
      </c>
      <c r="U4" s="3279"/>
      <c r="V4" s="3303" t="s">
        <v>2470</v>
      </c>
      <c r="W4" s="3303"/>
      <c r="X4" s="1539"/>
      <c r="Y4" s="3278" t="s">
        <v>2472</v>
      </c>
      <c r="Z4" s="3279"/>
      <c r="AA4" s="3273" t="s">
        <v>2468</v>
      </c>
      <c r="AB4" s="3274" t="s">
        <v>2469</v>
      </c>
      <c r="AC4" s="3273" t="s">
        <v>2470</v>
      </c>
    </row>
    <row r="5" spans="1:29" ht="15">
      <c r="A5" s="364"/>
      <c r="B5" s="365"/>
      <c r="C5" s="3284" t="s">
        <v>2363</v>
      </c>
      <c r="D5" s="3285"/>
      <c r="E5" s="3282" t="s">
        <v>2364</v>
      </c>
      <c r="F5" s="3283"/>
      <c r="G5" s="3284" t="s">
        <v>2365</v>
      </c>
      <c r="H5" s="3285"/>
      <c r="I5" s="3284" t="s">
        <v>2366</v>
      </c>
      <c r="J5" s="3285"/>
      <c r="K5" s="567"/>
      <c r="L5" s="1044"/>
      <c r="M5" s="1045"/>
      <c r="N5" s="1045"/>
      <c r="O5" s="1045"/>
      <c r="P5" s="3297"/>
      <c r="Q5" s="3298"/>
      <c r="R5" s="3280"/>
      <c r="S5" s="3281"/>
      <c r="T5" s="3280"/>
      <c r="U5" s="3281"/>
      <c r="V5" s="3303"/>
      <c r="W5" s="3303"/>
      <c r="X5" s="1539"/>
      <c r="Y5" s="3280"/>
      <c r="Z5" s="3281"/>
      <c r="AA5" s="3274"/>
      <c r="AB5" s="3274"/>
      <c r="AC5" s="3274"/>
    </row>
    <row r="6" spans="1:29" ht="15.75" thickBot="1">
      <c r="A6" s="366"/>
      <c r="B6" s="367"/>
      <c r="C6" s="3286" t="s">
        <v>2367</v>
      </c>
      <c r="D6" s="3287"/>
      <c r="E6" s="3288" t="s">
        <v>2367</v>
      </c>
      <c r="F6" s="3289"/>
      <c r="G6" s="3286" t="s">
        <v>2367</v>
      </c>
      <c r="H6" s="3287"/>
      <c r="I6" s="3286" t="s">
        <v>2367</v>
      </c>
      <c r="J6" s="3287"/>
      <c r="K6" s="567" t="s">
        <v>2368</v>
      </c>
      <c r="L6" s="1044"/>
      <c r="M6" s="1045"/>
      <c r="N6" s="1045"/>
      <c r="O6" s="1045"/>
      <c r="P6" s="3299"/>
      <c r="Q6" s="3300"/>
      <c r="R6" s="3280"/>
      <c r="S6" s="3281"/>
      <c r="T6" s="3301"/>
      <c r="U6" s="3302"/>
      <c r="V6" s="3303"/>
      <c r="W6" s="3303"/>
      <c r="X6" s="1539"/>
      <c r="Y6" s="3301"/>
      <c r="Z6" s="3302"/>
      <c r="AA6" s="3275"/>
      <c r="AB6" s="3275"/>
      <c r="AC6" s="3275"/>
    </row>
    <row r="7" spans="1:29" s="113" customFormat="1" ht="15.75" thickBot="1">
      <c r="A7" s="368" t="s">
        <v>2369</v>
      </c>
      <c r="B7" s="369"/>
      <c r="C7" s="370">
        <f>'数据-取费表'!B2</f>
        <v>44512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6" t="s">
        <v>2370</v>
      </c>
      <c r="Q7" s="3304"/>
      <c r="R7" s="710" t="s">
        <v>17</v>
      </c>
      <c r="S7" s="711">
        <f t="shared" ref="S7:S15" si="0">F7</f>
        <v>0</v>
      </c>
      <c r="T7" s="710" t="s">
        <v>17</v>
      </c>
      <c r="U7" s="711">
        <f t="shared" ref="U7:U15" si="1">H7</f>
        <v>0</v>
      </c>
      <c r="V7" s="710" t="s">
        <v>17</v>
      </c>
      <c r="W7" s="711">
        <f t="shared" ref="W7:W15" si="2">J7</f>
        <v>0</v>
      </c>
      <c r="X7" s="712"/>
      <c r="Y7" s="3276" t="s">
        <v>2370</v>
      </c>
      <c r="Z7" s="327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6" t="s">
        <v>2373</v>
      </c>
      <c r="Q8" s="3277"/>
      <c r="R8" s="710" t="s">
        <v>17</v>
      </c>
      <c r="S8" s="711">
        <f t="shared" si="0"/>
        <v>0</v>
      </c>
      <c r="T8" s="710" t="s">
        <v>17</v>
      </c>
      <c r="U8" s="711">
        <f t="shared" si="1"/>
        <v>0</v>
      </c>
      <c r="V8" s="710" t="s">
        <v>17</v>
      </c>
      <c r="W8" s="711">
        <f t="shared" si="2"/>
        <v>0</v>
      </c>
      <c r="X8" s="712"/>
      <c r="Y8" s="3276" t="s">
        <v>2373</v>
      </c>
      <c r="Z8" s="327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0"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0"/>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0"/>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90"/>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90"/>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90"/>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5" t="s">
        <v>2381</v>
      </c>
      <c r="Q15" s="1536" t="str">
        <f t="shared" si="6"/>
        <v>产业集聚程度</v>
      </c>
      <c r="R15" s="714" t="s">
        <v>17</v>
      </c>
      <c r="S15" s="715">
        <f t="shared" si="0"/>
        <v>100</v>
      </c>
      <c r="T15" s="714" t="s">
        <v>17</v>
      </c>
      <c r="U15" s="715">
        <f t="shared" si="1"/>
        <v>100</v>
      </c>
      <c r="V15" s="714" t="s">
        <v>17</v>
      </c>
      <c r="W15" s="715">
        <f t="shared" si="2"/>
        <v>100</v>
      </c>
      <c r="X15" s="1539"/>
      <c r="Y15" s="3305"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06"/>
      <c r="Q16" s="1536"/>
      <c r="R16" s="714"/>
      <c r="S16" s="715"/>
      <c r="T16" s="714"/>
      <c r="U16" s="715"/>
      <c r="V16" s="714"/>
      <c r="W16" s="715"/>
      <c r="X16" s="1539"/>
      <c r="Y16" s="330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6"/>
      <c r="Q17" s="1536" t="str">
        <f>B17</f>
        <v>交通便捷度</v>
      </c>
      <c r="R17" s="714" t="s">
        <v>17</v>
      </c>
      <c r="S17" s="715">
        <f>F17</f>
        <v>100</v>
      </c>
      <c r="T17" s="714" t="s">
        <v>17</v>
      </c>
      <c r="U17" s="715">
        <f>H17</f>
        <v>100</v>
      </c>
      <c r="V17" s="714" t="s">
        <v>17</v>
      </c>
      <c r="W17" s="715">
        <f>J17</f>
        <v>100</v>
      </c>
      <c r="X17" s="1539"/>
      <c r="Y17" s="330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06"/>
      <c r="Q18" s="1536"/>
      <c r="R18" s="714"/>
      <c r="S18" s="715"/>
      <c r="T18" s="714"/>
      <c r="U18" s="715"/>
      <c r="V18" s="714"/>
      <c r="W18" s="715"/>
      <c r="X18" s="1539"/>
      <c r="Y18" s="3306"/>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6"/>
      <c r="Q19" s="1536" t="str">
        <f>B19</f>
        <v>公共配套设施</v>
      </c>
      <c r="R19" s="714" t="s">
        <v>17</v>
      </c>
      <c r="S19" s="715">
        <f>F19</f>
        <v>100</v>
      </c>
      <c r="T19" s="714" t="s">
        <v>17</v>
      </c>
      <c r="U19" s="715">
        <f>H19</f>
        <v>100</v>
      </c>
      <c r="V19" s="714" t="s">
        <v>17</v>
      </c>
      <c r="W19" s="715">
        <f>J19</f>
        <v>100</v>
      </c>
      <c r="X19" s="1539"/>
      <c r="Y19" s="330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06"/>
      <c r="Q20" s="1536"/>
      <c r="R20" s="714"/>
      <c r="S20" s="715"/>
      <c r="T20" s="714"/>
      <c r="U20" s="715"/>
      <c r="V20" s="714"/>
      <c r="W20" s="715"/>
      <c r="X20" s="1539"/>
      <c r="Y20" s="3306"/>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6"/>
      <c r="Q21" s="1536" t="str">
        <f>B21</f>
        <v>基础设施水平</v>
      </c>
      <c r="R21" s="714" t="s">
        <v>17</v>
      </c>
      <c r="S21" s="715">
        <f>F21</f>
        <v>100</v>
      </c>
      <c r="T21" s="714" t="s">
        <v>17</v>
      </c>
      <c r="U21" s="715">
        <f>H21</f>
        <v>100</v>
      </c>
      <c r="V21" s="714" t="s">
        <v>17</v>
      </c>
      <c r="W21" s="715">
        <f>J21</f>
        <v>100</v>
      </c>
      <c r="X21" s="1539"/>
      <c r="Y21" s="33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06"/>
      <c r="Q22" s="1536"/>
      <c r="R22" s="714"/>
      <c r="S22" s="715"/>
      <c r="T22" s="714"/>
      <c r="U22" s="715"/>
      <c r="V22" s="714"/>
      <c r="W22" s="715"/>
      <c r="X22" s="1539"/>
      <c r="Y22" s="3306"/>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6"/>
      <c r="Q23" s="1536" t="str">
        <f>B23</f>
        <v>环境质量</v>
      </c>
      <c r="R23" s="714" t="s">
        <v>17</v>
      </c>
      <c r="S23" s="715">
        <f>F23</f>
        <v>100</v>
      </c>
      <c r="T23" s="714" t="s">
        <v>17</v>
      </c>
      <c r="U23" s="715">
        <f>H23</f>
        <v>100</v>
      </c>
      <c r="V23" s="714" t="s">
        <v>17</v>
      </c>
      <c r="W23" s="715">
        <f>J23</f>
        <v>100</v>
      </c>
      <c r="X23" s="1539"/>
      <c r="Y23" s="330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06"/>
      <c r="Q24" s="1536"/>
      <c r="R24" s="714"/>
      <c r="S24" s="715"/>
      <c r="T24" s="714"/>
      <c r="U24" s="715"/>
      <c r="V24" s="714"/>
      <c r="W24" s="715"/>
      <c r="X24" s="1539"/>
      <c r="Y24" s="330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6"/>
      <c r="Q25" s="1536">
        <f>B25</f>
        <v>111</v>
      </c>
      <c r="R25" s="714" t="s">
        <v>17</v>
      </c>
      <c r="S25" s="715">
        <f>F25</f>
        <v>100</v>
      </c>
      <c r="T25" s="714" t="s">
        <v>17</v>
      </c>
      <c r="U25" s="715">
        <f>H25</f>
        <v>100</v>
      </c>
      <c r="V25" s="714" t="s">
        <v>17</v>
      </c>
      <c r="W25" s="715">
        <f>J25</f>
        <v>100</v>
      </c>
      <c r="X25" s="1539"/>
      <c r="Y25" s="330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6"/>
      <c r="Q26" s="1536">
        <f t="shared" ref="Q26:Q40" si="11">B26</f>
        <v>111</v>
      </c>
      <c r="R26" s="714" t="s">
        <v>17</v>
      </c>
      <c r="S26" s="715">
        <f>F26</f>
        <v>100</v>
      </c>
      <c r="T26" s="714" t="s">
        <v>17</v>
      </c>
      <c r="U26" s="715">
        <f>H26</f>
        <v>100</v>
      </c>
      <c r="V26" s="714" t="s">
        <v>17</v>
      </c>
      <c r="W26" s="715">
        <f>J26</f>
        <v>100</v>
      </c>
      <c r="X26" s="1539"/>
      <c r="Y26" s="330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6"/>
      <c r="Q27" s="1527">
        <f t="shared" si="11"/>
        <v>111</v>
      </c>
      <c r="R27" s="710" t="s">
        <v>17</v>
      </c>
      <c r="S27" s="711">
        <f>F27</f>
        <v>100</v>
      </c>
      <c r="T27" s="710" t="s">
        <v>17</v>
      </c>
      <c r="U27" s="711">
        <f>H27</f>
        <v>100</v>
      </c>
      <c r="V27" s="710" t="s">
        <v>17</v>
      </c>
      <c r="W27" s="711">
        <f>J27</f>
        <v>100</v>
      </c>
      <c r="X27" s="712"/>
      <c r="Y27" s="330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6"/>
      <c r="Q28" s="1536">
        <f t="shared" si="11"/>
        <v>111</v>
      </c>
      <c r="R28" s="714" t="s">
        <v>17</v>
      </c>
      <c r="S28" s="715">
        <f t="shared" ref="S28:S40" si="12">F28</f>
        <v>100</v>
      </c>
      <c r="T28" s="714" t="s">
        <v>17</v>
      </c>
      <c r="U28" s="715">
        <f t="shared" ref="U28:U40" si="13">H28</f>
        <v>100</v>
      </c>
      <c r="V28" s="714" t="s">
        <v>17</v>
      </c>
      <c r="W28" s="715">
        <f t="shared" ref="W28:W40" si="14">J28</f>
        <v>100</v>
      </c>
      <c r="X28" s="1539"/>
      <c r="Y28" s="3306"/>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07" t="s">
        <v>2386</v>
      </c>
      <c r="Q29" s="1536" t="str">
        <f t="shared" si="11"/>
        <v>建筑类型</v>
      </c>
      <c r="R29" s="714" t="s">
        <v>17</v>
      </c>
      <c r="S29" s="715">
        <f t="shared" si="12"/>
        <v>100</v>
      </c>
      <c r="T29" s="714" t="s">
        <v>17</v>
      </c>
      <c r="U29" s="715">
        <f t="shared" si="13"/>
        <v>100</v>
      </c>
      <c r="V29" s="714" t="s">
        <v>17</v>
      </c>
      <c r="W29" s="715">
        <f t="shared" si="14"/>
        <v>100</v>
      </c>
      <c r="X29" s="1539"/>
      <c r="Y29" s="3308"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8"/>
      <c r="Q30" s="716" t="str">
        <f t="shared" si="11"/>
        <v>项目建筑规模</v>
      </c>
      <c r="R30" s="717" t="s">
        <v>17</v>
      </c>
      <c r="S30" s="718" t="e">
        <f t="shared" si="12"/>
        <v>#N/A</v>
      </c>
      <c r="T30" s="717" t="s">
        <v>17</v>
      </c>
      <c r="U30" s="718" t="e">
        <f t="shared" si="13"/>
        <v>#N/A</v>
      </c>
      <c r="V30" s="717" t="s">
        <v>17</v>
      </c>
      <c r="W30" s="718" t="e">
        <f t="shared" si="14"/>
        <v>#N/A</v>
      </c>
      <c r="X30" s="719"/>
      <c r="Y30" s="3308"/>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8"/>
      <c r="Q31" s="1536" t="str">
        <f t="shared" si="11"/>
        <v>建筑结构</v>
      </c>
      <c r="R31" s="714" t="s">
        <v>17</v>
      </c>
      <c r="S31" s="715">
        <f t="shared" si="12"/>
        <v>100</v>
      </c>
      <c r="T31" s="714" t="s">
        <v>17</v>
      </c>
      <c r="U31" s="715">
        <f t="shared" si="13"/>
        <v>100</v>
      </c>
      <c r="V31" s="714" t="s">
        <v>17</v>
      </c>
      <c r="W31" s="715">
        <f t="shared" si="14"/>
        <v>100</v>
      </c>
      <c r="X31" s="1539"/>
      <c r="Y31" s="3308"/>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8"/>
      <c r="Q32" s="1536" t="str">
        <f t="shared" si="11"/>
        <v>公共部分装修</v>
      </c>
      <c r="R32" s="714" t="s">
        <v>17</v>
      </c>
      <c r="S32" s="715">
        <f t="shared" si="12"/>
        <v>100</v>
      </c>
      <c r="T32" s="714" t="s">
        <v>17</v>
      </c>
      <c r="U32" s="715">
        <f t="shared" si="13"/>
        <v>100</v>
      </c>
      <c r="V32" s="714" t="s">
        <v>17</v>
      </c>
      <c r="W32" s="715">
        <f t="shared" si="14"/>
        <v>100</v>
      </c>
      <c r="X32" s="1539"/>
      <c r="Y32" s="3308"/>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8"/>
      <c r="Q33" s="1536" t="str">
        <f t="shared" si="11"/>
        <v>成新度</v>
      </c>
      <c r="R33" s="714" t="s">
        <v>17</v>
      </c>
      <c r="S33" s="715" t="e">
        <f t="shared" si="12"/>
        <v>#N/A</v>
      </c>
      <c r="T33" s="714" t="s">
        <v>17</v>
      </c>
      <c r="U33" s="715" t="e">
        <f t="shared" si="13"/>
        <v>#N/A</v>
      </c>
      <c r="V33" s="714" t="s">
        <v>17</v>
      </c>
      <c r="W33" s="715" t="e">
        <f t="shared" si="14"/>
        <v>#N/A</v>
      </c>
      <c r="X33" s="1539"/>
      <c r="Y33" s="3308"/>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8"/>
      <c r="Q34" s="1527" t="str">
        <f t="shared" si="11"/>
        <v>物业管理</v>
      </c>
      <c r="R34" s="710" t="s">
        <v>17</v>
      </c>
      <c r="S34" s="711">
        <f t="shared" si="12"/>
        <v>100</v>
      </c>
      <c r="T34" s="710" t="s">
        <v>17</v>
      </c>
      <c r="U34" s="711">
        <f t="shared" si="13"/>
        <v>100</v>
      </c>
      <c r="V34" s="710" t="s">
        <v>17</v>
      </c>
      <c r="W34" s="711">
        <f t="shared" si="14"/>
        <v>100</v>
      </c>
      <c r="X34" s="712"/>
      <c r="Y34" s="330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8" t="s">
        <v>2386</v>
      </c>
      <c r="Q35" s="1536" t="str">
        <f t="shared" si="11"/>
        <v>市政基础设施</v>
      </c>
      <c r="R35" s="714" t="s">
        <v>17</v>
      </c>
      <c r="S35" s="715">
        <f t="shared" si="12"/>
        <v>100</v>
      </c>
      <c r="T35" s="714" t="s">
        <v>17</v>
      </c>
      <c r="U35" s="715">
        <f t="shared" si="13"/>
        <v>100</v>
      </c>
      <c r="V35" s="714" t="s">
        <v>17</v>
      </c>
      <c r="W35" s="715">
        <f t="shared" si="14"/>
        <v>100</v>
      </c>
      <c r="X35" s="1539"/>
      <c r="Y35" s="3308"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8"/>
      <c r="Q36" s="1536" t="str">
        <f t="shared" si="11"/>
        <v>内部装修</v>
      </c>
      <c r="R36" s="714" t="s">
        <v>17</v>
      </c>
      <c r="S36" s="715">
        <f t="shared" si="12"/>
        <v>100</v>
      </c>
      <c r="T36" s="714" t="s">
        <v>17</v>
      </c>
      <c r="U36" s="715">
        <f t="shared" si="13"/>
        <v>100</v>
      </c>
      <c r="V36" s="714" t="s">
        <v>17</v>
      </c>
      <c r="W36" s="715">
        <f t="shared" si="14"/>
        <v>100</v>
      </c>
      <c r="X36" s="1539"/>
      <c r="Y36" s="3308"/>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8"/>
      <c r="Q37" s="1536" t="str">
        <f t="shared" si="11"/>
        <v>内部装修状况</v>
      </c>
      <c r="R37" s="714" t="s">
        <v>17</v>
      </c>
      <c r="S37" s="715">
        <f t="shared" si="12"/>
        <v>100</v>
      </c>
      <c r="T37" s="714" t="s">
        <v>17</v>
      </c>
      <c r="U37" s="715">
        <f t="shared" si="13"/>
        <v>100</v>
      </c>
      <c r="V37" s="714" t="s">
        <v>17</v>
      </c>
      <c r="W37" s="715">
        <f t="shared" si="14"/>
        <v>100</v>
      </c>
      <c r="X37" s="1539"/>
      <c r="Y37" s="3308"/>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8"/>
      <c r="Q38" s="716">
        <f t="shared" si="11"/>
        <v>111</v>
      </c>
      <c r="R38" s="717" t="s">
        <v>17</v>
      </c>
      <c r="S38" s="718">
        <f t="shared" si="12"/>
        <v>100</v>
      </c>
      <c r="T38" s="717" t="s">
        <v>17</v>
      </c>
      <c r="U38" s="718">
        <f t="shared" si="13"/>
        <v>100</v>
      </c>
      <c r="V38" s="717" t="s">
        <v>17</v>
      </c>
      <c r="W38" s="718">
        <f t="shared" si="14"/>
        <v>100</v>
      </c>
      <c r="X38" s="719"/>
      <c r="Y38" s="3308"/>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8"/>
      <c r="Q39" s="1536">
        <f t="shared" si="11"/>
        <v>111</v>
      </c>
      <c r="R39" s="714" t="s">
        <v>17</v>
      </c>
      <c r="S39" s="715">
        <f t="shared" si="12"/>
        <v>100</v>
      </c>
      <c r="T39" s="714" t="s">
        <v>17</v>
      </c>
      <c r="U39" s="715">
        <f t="shared" si="13"/>
        <v>100</v>
      </c>
      <c r="V39" s="714" t="s">
        <v>17</v>
      </c>
      <c r="W39" s="715">
        <f t="shared" si="14"/>
        <v>100</v>
      </c>
      <c r="X39" s="1539"/>
      <c r="Y39" s="3308"/>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9"/>
      <c r="Q40" s="1536">
        <f t="shared" si="11"/>
        <v>111</v>
      </c>
      <c r="R40" s="714" t="s">
        <v>17</v>
      </c>
      <c r="S40" s="715">
        <f t="shared" si="12"/>
        <v>100</v>
      </c>
      <c r="T40" s="714" t="s">
        <v>17</v>
      </c>
      <c r="U40" s="715">
        <f t="shared" si="13"/>
        <v>100</v>
      </c>
      <c r="V40" s="714" t="s">
        <v>17</v>
      </c>
      <c r="W40" s="715">
        <f t="shared" si="14"/>
        <v>100</v>
      </c>
      <c r="X40" s="1539"/>
      <c r="Y40" s="3309"/>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90" t="str">
        <f>A41</f>
        <v>成交单价（元/平方米）</v>
      </c>
      <c r="Q41" s="3290"/>
      <c r="R41" s="3310">
        <f>E41</f>
        <v>0</v>
      </c>
      <c r="S41" s="3310"/>
      <c r="T41" s="3310">
        <f>G41</f>
        <v>0</v>
      </c>
      <c r="U41" s="3310"/>
      <c r="V41" s="3310">
        <f>I41</f>
        <v>0</v>
      </c>
      <c r="W41" s="3310"/>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90" t="str">
        <f>A42</f>
        <v>比较价值（元/平方米）</v>
      </c>
      <c r="Q42" s="3290"/>
      <c r="R42" s="3310" t="e">
        <f>IF(F1="售价",ROUND(PRODUCT(R41,AA7:AA40),0),ROUND(PRODUCT(R41,AA7:AA40),1))</f>
        <v>#DIV/0!</v>
      </c>
      <c r="S42" s="3310"/>
      <c r="T42" s="3310" t="e">
        <f>IF(F1="售价",ROUND(PRODUCT(T41,AB7:AB40),0),ROUND(PRODUCT(T41,AB7:AB40),1))</f>
        <v>#DIV/0!</v>
      </c>
      <c r="U42" s="3310"/>
      <c r="V42" s="3310" t="e">
        <f>IF(F1="售价",ROUND(PRODUCT(V41,AC7:AC40),0),ROUND(PRODUCT(V41,AC7:AC40),1))</f>
        <v>#DIV/0!</v>
      </c>
      <c r="W42" s="3310"/>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1" t="str">
        <f>A43</f>
        <v>估价对象XX用房的比较价值（楼面单价，元/平方米）</v>
      </c>
      <c r="Q43" s="3312"/>
      <c r="R43" s="3313" t="e">
        <f>IF(F1="售价",ROUND(IF(D42="简单平均",AVERAGE(R42:V42),R42*F42+T42*H42+V42*J42),0),ROUND(IF(D42="简单平均",AVERAGE(R42:V42),R42*F42+T42*H42+V42*J42),1))</f>
        <v>#DIV/0!</v>
      </c>
      <c r="S43" s="3313"/>
      <c r="T43" s="3313"/>
      <c r="U43" s="3313"/>
      <c r="V43" s="3313"/>
      <c r="W43" s="331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70" priority="20" stopIfTrue="1" operator="containsText" text="超过">
      <formula>NOT(ISERROR(SEARCH("超过",F46)))</formula>
    </cfRule>
  </conditionalFormatting>
  <conditionalFormatting sqref="H48">
    <cfRule type="containsText" dxfId="169" priority="19" stopIfTrue="1" operator="containsText" text="超过">
      <formula>NOT(ISERROR(SEARCH("超过",H48)))</formula>
    </cfRule>
  </conditionalFormatting>
  <conditionalFormatting sqref="F48">
    <cfRule type="containsText" dxfId="168" priority="18" stopIfTrue="1" operator="containsText" text="超过">
      <formula>NOT(ISERROR(SEARCH("超过",F48)))</formula>
    </cfRule>
  </conditionalFormatting>
  <conditionalFormatting sqref="F47 H47">
    <cfRule type="containsText" dxfId="167" priority="17" stopIfTrue="1" operator="containsText" text="超过">
      <formula>NOT(ISERROR(SEARCH("超过",F47)))</formula>
    </cfRule>
  </conditionalFormatting>
  <conditionalFormatting sqref="E46">
    <cfRule type="expression" dxfId="166" priority="16" stopIfTrue="1">
      <formula>$F$46="超过30%"</formula>
    </cfRule>
  </conditionalFormatting>
  <conditionalFormatting sqref="E47">
    <cfRule type="expression" dxfId="165" priority="15" stopIfTrue="1">
      <formula>$F$47="超过20%"</formula>
    </cfRule>
  </conditionalFormatting>
  <conditionalFormatting sqref="E48">
    <cfRule type="expression" dxfId="164" priority="14" stopIfTrue="1">
      <formula>$F$48="超过30%"</formula>
    </cfRule>
  </conditionalFormatting>
  <conditionalFormatting sqref="G48">
    <cfRule type="expression" dxfId="163" priority="13" stopIfTrue="1">
      <formula>$H$48="超过30%"</formula>
    </cfRule>
  </conditionalFormatting>
  <conditionalFormatting sqref="G46">
    <cfRule type="expression" dxfId="162" priority="12" stopIfTrue="1">
      <formula>$H$46="超过30%"</formula>
    </cfRule>
  </conditionalFormatting>
  <conditionalFormatting sqref="G47">
    <cfRule type="expression" dxfId="161" priority="11" stopIfTrue="1">
      <formula>$H$47="超过20%"</formula>
    </cfRule>
  </conditionalFormatting>
  <conditionalFormatting sqref="J46">
    <cfRule type="containsText" dxfId="160" priority="10" stopIfTrue="1" operator="containsText" text="超过">
      <formula>NOT(ISERROR(SEARCH("超过",J46)))</formula>
    </cfRule>
  </conditionalFormatting>
  <conditionalFormatting sqref="J48">
    <cfRule type="containsText" dxfId="159" priority="9" stopIfTrue="1" operator="containsText" text="超过">
      <formula>NOT(ISERROR(SEARCH("超过",J48)))</formula>
    </cfRule>
  </conditionalFormatting>
  <conditionalFormatting sqref="J47">
    <cfRule type="containsText" dxfId="158" priority="8" stopIfTrue="1" operator="containsText" text="超过">
      <formula>NOT(ISERROR(SEARCH("超过",J47)))</formula>
    </cfRule>
  </conditionalFormatting>
  <conditionalFormatting sqref="I46">
    <cfRule type="expression" dxfId="157" priority="7" stopIfTrue="1">
      <formula>$J$46="超过30%"</formula>
    </cfRule>
  </conditionalFormatting>
  <conditionalFormatting sqref="I47">
    <cfRule type="expression" dxfId="156" priority="6" stopIfTrue="1">
      <formula>$J$47="超过20%"</formula>
    </cfRule>
  </conditionalFormatting>
  <conditionalFormatting sqref="I48">
    <cfRule type="expression" dxfId="155" priority="5" stopIfTrue="1">
      <formula>$J$48="超过30%"</formula>
    </cfRule>
  </conditionalFormatting>
  <conditionalFormatting sqref="F42">
    <cfRule type="expression" dxfId="154" priority="4">
      <formula>$D$42="简单平均"</formula>
    </cfRule>
  </conditionalFormatting>
  <conditionalFormatting sqref="H42">
    <cfRule type="expression" dxfId="153" priority="3">
      <formula>$D$42="简单平均"</formula>
    </cfRule>
  </conditionalFormatting>
  <conditionalFormatting sqref="J42">
    <cfRule type="expression" dxfId="152" priority="2">
      <formula>$D$42="简单平均"</formula>
    </cfRule>
  </conditionalFormatting>
  <conditionalFormatting sqref="F7:F40 H7:H40 J7:J40">
    <cfRule type="cellIs" dxfId="15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1" t="s">
        <v>2467</v>
      </c>
      <c r="D4" s="3292"/>
      <c r="E4" s="3293" t="s">
        <v>2468</v>
      </c>
      <c r="F4" s="3294"/>
      <c r="G4" s="3291" t="s">
        <v>2469</v>
      </c>
      <c r="H4" s="3292"/>
      <c r="I4" s="3291" t="s">
        <v>2470</v>
      </c>
      <c r="J4" s="3292"/>
      <c r="K4" s="567" t="s">
        <v>2471</v>
      </c>
      <c r="L4" s="2944"/>
      <c r="M4" s="2945"/>
      <c r="N4" s="2945"/>
      <c r="O4" s="2945"/>
      <c r="P4" s="3295" t="s">
        <v>2472</v>
      </c>
      <c r="Q4" s="3296"/>
      <c r="R4" s="3278" t="s">
        <v>2468</v>
      </c>
      <c r="S4" s="3279"/>
      <c r="T4" s="3278" t="s">
        <v>2469</v>
      </c>
      <c r="U4" s="3279"/>
      <c r="V4" s="3303" t="s">
        <v>2470</v>
      </c>
      <c r="W4" s="3303"/>
      <c r="X4" s="1539"/>
      <c r="Y4" s="3278" t="s">
        <v>2472</v>
      </c>
      <c r="Z4" s="3279"/>
      <c r="AA4" s="3273" t="s">
        <v>2468</v>
      </c>
      <c r="AB4" s="3274" t="s">
        <v>2469</v>
      </c>
      <c r="AC4" s="3273" t="s">
        <v>2470</v>
      </c>
    </row>
    <row r="5" spans="1:29" ht="15">
      <c r="A5" s="364"/>
      <c r="B5" s="365"/>
      <c r="C5" s="3284" t="s">
        <v>2363</v>
      </c>
      <c r="D5" s="3285"/>
      <c r="E5" s="3282" t="s">
        <v>2364</v>
      </c>
      <c r="F5" s="3283"/>
      <c r="G5" s="3284" t="s">
        <v>2365</v>
      </c>
      <c r="H5" s="3285"/>
      <c r="I5" s="3284" t="s">
        <v>2366</v>
      </c>
      <c r="J5" s="3285"/>
      <c r="K5" s="567"/>
      <c r="L5" s="2944"/>
      <c r="M5" s="2945"/>
      <c r="N5" s="2945"/>
      <c r="O5" s="2945"/>
      <c r="P5" s="3297"/>
      <c r="Q5" s="3298"/>
      <c r="R5" s="3280"/>
      <c r="S5" s="3281"/>
      <c r="T5" s="3280"/>
      <c r="U5" s="3281"/>
      <c r="V5" s="3303"/>
      <c r="W5" s="3303"/>
      <c r="X5" s="1539"/>
      <c r="Y5" s="3280"/>
      <c r="Z5" s="3281"/>
      <c r="AA5" s="3274"/>
      <c r="AB5" s="3274"/>
      <c r="AC5" s="3274"/>
    </row>
    <row r="6" spans="1:29" ht="15.75" thickBot="1">
      <c r="A6" s="366"/>
      <c r="B6" s="367"/>
      <c r="C6" s="3286" t="s">
        <v>2367</v>
      </c>
      <c r="D6" s="3287"/>
      <c r="E6" s="3288" t="s">
        <v>2367</v>
      </c>
      <c r="F6" s="3289"/>
      <c r="G6" s="3286" t="s">
        <v>2367</v>
      </c>
      <c r="H6" s="3287"/>
      <c r="I6" s="3286" t="s">
        <v>2367</v>
      </c>
      <c r="J6" s="3287"/>
      <c r="K6" s="567" t="s">
        <v>2368</v>
      </c>
      <c r="L6" s="2944"/>
      <c r="M6" s="2945"/>
      <c r="N6" s="2945"/>
      <c r="O6" s="2945"/>
      <c r="P6" s="3299"/>
      <c r="Q6" s="3300"/>
      <c r="R6" s="3280"/>
      <c r="S6" s="3281"/>
      <c r="T6" s="3301"/>
      <c r="U6" s="3302"/>
      <c r="V6" s="3303"/>
      <c r="W6" s="3303"/>
      <c r="X6" s="1539"/>
      <c r="Y6" s="3301"/>
      <c r="Z6" s="3302"/>
      <c r="AA6" s="3275"/>
      <c r="AB6" s="3275"/>
      <c r="AC6" s="3275"/>
    </row>
    <row r="7" spans="1:29" s="113" customFormat="1" ht="15.75" thickBot="1">
      <c r="A7" s="368" t="s">
        <v>2369</v>
      </c>
      <c r="B7" s="369"/>
      <c r="C7" s="370">
        <f>'数据-取费表'!B2</f>
        <v>44512</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76" t="s">
        <v>2370</v>
      </c>
      <c r="Q7" s="3304"/>
      <c r="R7" s="710" t="s">
        <v>17</v>
      </c>
      <c r="S7" s="711">
        <f t="shared" ref="S7:S14" si="0">F7</f>
        <v>0</v>
      </c>
      <c r="T7" s="710" t="s">
        <v>17</v>
      </c>
      <c r="U7" s="711">
        <f t="shared" ref="U7:U14" si="1">H7</f>
        <v>0</v>
      </c>
      <c r="V7" s="710" t="s">
        <v>17</v>
      </c>
      <c r="W7" s="711">
        <f t="shared" ref="W7:W14" si="2">J7</f>
        <v>0</v>
      </c>
      <c r="X7" s="712"/>
      <c r="Y7" s="3276" t="s">
        <v>2370</v>
      </c>
      <c r="Z7" s="327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76" t="s">
        <v>2373</v>
      </c>
      <c r="Q8" s="3277"/>
      <c r="R8" s="710" t="s">
        <v>17</v>
      </c>
      <c r="S8" s="711">
        <f t="shared" si="0"/>
        <v>0</v>
      </c>
      <c r="T8" s="710" t="s">
        <v>17</v>
      </c>
      <c r="U8" s="711">
        <f t="shared" si="1"/>
        <v>0</v>
      </c>
      <c r="V8" s="710" t="s">
        <v>17</v>
      </c>
      <c r="W8" s="711">
        <f t="shared" si="2"/>
        <v>0</v>
      </c>
      <c r="X8" s="712"/>
      <c r="Y8" s="3276" t="s">
        <v>2373</v>
      </c>
      <c r="Z8" s="327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90" t="s">
        <v>2376</v>
      </c>
      <c r="Q9" s="1527" t="str">
        <f t="shared" ref="Q9:Q14" si="6">B9</f>
        <v>用途</v>
      </c>
      <c r="R9" s="710" t="s">
        <v>17</v>
      </c>
      <c r="S9" s="711">
        <f t="shared" si="0"/>
        <v>100</v>
      </c>
      <c r="T9" s="710" t="s">
        <v>17</v>
      </c>
      <c r="U9" s="711">
        <f t="shared" si="1"/>
        <v>100</v>
      </c>
      <c r="V9" s="710" t="s">
        <v>17</v>
      </c>
      <c r="W9" s="711">
        <f t="shared" si="2"/>
        <v>100</v>
      </c>
      <c r="X9" s="712"/>
      <c r="Y9" s="324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90"/>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90"/>
      <c r="Q11" s="1527">
        <f t="shared" si="6"/>
        <v>111</v>
      </c>
      <c r="R11" s="710" t="s">
        <v>17</v>
      </c>
      <c r="S11" s="711">
        <f t="shared" si="0"/>
        <v>100</v>
      </c>
      <c r="T11" s="710" t="s">
        <v>17</v>
      </c>
      <c r="U11" s="711">
        <f t="shared" si="1"/>
        <v>100</v>
      </c>
      <c r="V11" s="710" t="s">
        <v>17</v>
      </c>
      <c r="W11" s="711">
        <f t="shared" si="2"/>
        <v>100</v>
      </c>
      <c r="X11" s="712"/>
      <c r="Y11" s="324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90"/>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90"/>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05" t="s">
        <v>2381</v>
      </c>
      <c r="Q14" s="1536" t="str">
        <f t="shared" si="6"/>
        <v>交通便捷度</v>
      </c>
      <c r="R14" s="714" t="s">
        <v>17</v>
      </c>
      <c r="S14" s="715">
        <f t="shared" si="0"/>
        <v>100</v>
      </c>
      <c r="T14" s="714" t="s">
        <v>17</v>
      </c>
      <c r="U14" s="715">
        <f t="shared" si="1"/>
        <v>100</v>
      </c>
      <c r="V14" s="714" t="s">
        <v>17</v>
      </c>
      <c r="W14" s="715">
        <f t="shared" si="2"/>
        <v>100</v>
      </c>
      <c r="X14" s="1539"/>
      <c r="Y14" s="3305"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06"/>
      <c r="Q15" s="1536"/>
      <c r="R15" s="714"/>
      <c r="S15" s="715"/>
      <c r="T15" s="714"/>
      <c r="U15" s="715"/>
      <c r="V15" s="714"/>
      <c r="W15" s="715"/>
      <c r="X15" s="1539"/>
      <c r="Y15" s="3306"/>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06"/>
      <c r="Q16" s="1536" t="str">
        <f>B16</f>
        <v>公共配套设施</v>
      </c>
      <c r="R16" s="714" t="s">
        <v>17</v>
      </c>
      <c r="S16" s="715">
        <f>F16</f>
        <v>100</v>
      </c>
      <c r="T16" s="714" t="s">
        <v>17</v>
      </c>
      <c r="U16" s="715">
        <f>H16</f>
        <v>100</v>
      </c>
      <c r="V16" s="714" t="s">
        <v>17</v>
      </c>
      <c r="W16" s="715">
        <f>J16</f>
        <v>100</v>
      </c>
      <c r="X16" s="1539"/>
      <c r="Y16" s="330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06"/>
      <c r="Q17" s="1536"/>
      <c r="R17" s="714"/>
      <c r="S17" s="715"/>
      <c r="T17" s="714"/>
      <c r="U17" s="715"/>
      <c r="V17" s="714"/>
      <c r="W17" s="715"/>
      <c r="X17" s="1539"/>
      <c r="Y17" s="3306"/>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06"/>
      <c r="Q18" s="1536" t="str">
        <f>B18</f>
        <v>基础设施水平</v>
      </c>
      <c r="R18" s="714" t="s">
        <v>17</v>
      </c>
      <c r="S18" s="715">
        <f>F18</f>
        <v>100</v>
      </c>
      <c r="T18" s="714" t="s">
        <v>17</v>
      </c>
      <c r="U18" s="715">
        <f>H18</f>
        <v>100</v>
      </c>
      <c r="V18" s="714" t="s">
        <v>17</v>
      </c>
      <c r="W18" s="715">
        <f>J18</f>
        <v>100</v>
      </c>
      <c r="X18" s="1539"/>
      <c r="Y18" s="330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06"/>
      <c r="Q19" s="1536"/>
      <c r="R19" s="714"/>
      <c r="S19" s="715"/>
      <c r="T19" s="714"/>
      <c r="U19" s="715"/>
      <c r="V19" s="714"/>
      <c r="W19" s="715"/>
      <c r="X19" s="1539"/>
      <c r="Y19" s="3306"/>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06"/>
      <c r="Q20" s="1536" t="str">
        <f>B20</f>
        <v>自然及人文环境</v>
      </c>
      <c r="R20" s="714" t="s">
        <v>17</v>
      </c>
      <c r="S20" s="715">
        <f>F20</f>
        <v>100</v>
      </c>
      <c r="T20" s="714" t="s">
        <v>17</v>
      </c>
      <c r="U20" s="715">
        <f>H20</f>
        <v>100</v>
      </c>
      <c r="V20" s="714" t="s">
        <v>17</v>
      </c>
      <c r="W20" s="715">
        <f>J20</f>
        <v>100</v>
      </c>
      <c r="X20" s="1539"/>
      <c r="Y20" s="330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06"/>
      <c r="Q21" s="1536"/>
      <c r="R21" s="714"/>
      <c r="S21" s="715"/>
      <c r="T21" s="714"/>
      <c r="U21" s="715"/>
      <c r="V21" s="714"/>
      <c r="W21" s="715"/>
      <c r="X21" s="1539"/>
      <c r="Y21" s="3306"/>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06"/>
      <c r="Q22" s="1536" t="str">
        <f>B22</f>
        <v>楼层</v>
      </c>
      <c r="R22" s="714" t="s">
        <v>17</v>
      </c>
      <c r="S22" s="715">
        <f>F22</f>
        <v>100</v>
      </c>
      <c r="T22" s="714" t="s">
        <v>17</v>
      </c>
      <c r="U22" s="715">
        <f>H22</f>
        <v>100</v>
      </c>
      <c r="V22" s="714" t="s">
        <v>17</v>
      </c>
      <c r="W22" s="715">
        <f>J22</f>
        <v>100</v>
      </c>
      <c r="X22" s="1539"/>
      <c r="Y22" s="330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06"/>
      <c r="Q23" s="1536">
        <f>B23</f>
        <v>111</v>
      </c>
      <c r="R23" s="714" t="s">
        <v>17</v>
      </c>
      <c r="S23" s="715">
        <f>F23</f>
        <v>100</v>
      </c>
      <c r="T23" s="714" t="s">
        <v>17</v>
      </c>
      <c r="U23" s="715">
        <f>H23</f>
        <v>100</v>
      </c>
      <c r="V23" s="714" t="s">
        <v>17</v>
      </c>
      <c r="W23" s="715">
        <f>J23</f>
        <v>100</v>
      </c>
      <c r="X23" s="1539"/>
      <c r="Y23" s="330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06"/>
      <c r="Q24" s="1536">
        <f t="shared" ref="Q24:Q34" si="11">B24</f>
        <v>111</v>
      </c>
      <c r="R24" s="714" t="s">
        <v>17</v>
      </c>
      <c r="S24" s="715">
        <f>F24</f>
        <v>100</v>
      </c>
      <c r="T24" s="714" t="s">
        <v>17</v>
      </c>
      <c r="U24" s="715">
        <f>H24</f>
        <v>100</v>
      </c>
      <c r="V24" s="714" t="s">
        <v>17</v>
      </c>
      <c r="W24" s="715">
        <f>J24</f>
        <v>100</v>
      </c>
      <c r="X24" s="1539"/>
      <c r="Y24" s="330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06"/>
      <c r="Q25" s="1527">
        <f t="shared" si="11"/>
        <v>111</v>
      </c>
      <c r="R25" s="710" t="s">
        <v>17</v>
      </c>
      <c r="S25" s="711">
        <f>F25</f>
        <v>100</v>
      </c>
      <c r="T25" s="710" t="s">
        <v>17</v>
      </c>
      <c r="U25" s="711">
        <f>H25</f>
        <v>100</v>
      </c>
      <c r="V25" s="710" t="s">
        <v>17</v>
      </c>
      <c r="W25" s="711">
        <f>J25</f>
        <v>100</v>
      </c>
      <c r="X25" s="712"/>
      <c r="Y25" s="3306"/>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07"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08"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08"/>
      <c r="Q27" s="716" t="str">
        <f t="shared" si="11"/>
        <v>成新率</v>
      </c>
      <c r="R27" s="717" t="s">
        <v>17</v>
      </c>
      <c r="S27" s="718" t="e">
        <f t="shared" si="12"/>
        <v>#N/A</v>
      </c>
      <c r="T27" s="717" t="s">
        <v>17</v>
      </c>
      <c r="U27" s="718" t="e">
        <f t="shared" si="13"/>
        <v>#N/A</v>
      </c>
      <c r="V27" s="717" t="s">
        <v>17</v>
      </c>
      <c r="W27" s="718" t="e">
        <f t="shared" si="14"/>
        <v>#N/A</v>
      </c>
      <c r="X27" s="719"/>
      <c r="Y27" s="3308"/>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08"/>
      <c r="Q28" s="1536" t="str">
        <f t="shared" si="11"/>
        <v>物业等级</v>
      </c>
      <c r="R28" s="714" t="s">
        <v>17</v>
      </c>
      <c r="S28" s="715">
        <f t="shared" si="12"/>
        <v>100</v>
      </c>
      <c r="T28" s="714" t="s">
        <v>17</v>
      </c>
      <c r="U28" s="715">
        <f t="shared" si="13"/>
        <v>100</v>
      </c>
      <c r="V28" s="714" t="s">
        <v>17</v>
      </c>
      <c r="W28" s="715">
        <f t="shared" si="14"/>
        <v>100</v>
      </c>
      <c r="X28" s="1539"/>
      <c r="Y28" s="3308"/>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08"/>
      <c r="Q29" s="1536" t="str">
        <f t="shared" si="11"/>
        <v>有无电梯</v>
      </c>
      <c r="R29" s="714" t="s">
        <v>17</v>
      </c>
      <c r="S29" s="715">
        <f t="shared" si="12"/>
        <v>100</v>
      </c>
      <c r="T29" s="714" t="s">
        <v>17</v>
      </c>
      <c r="U29" s="715">
        <f t="shared" si="13"/>
        <v>100</v>
      </c>
      <c r="V29" s="714" t="s">
        <v>17</v>
      </c>
      <c r="W29" s="715">
        <f t="shared" si="14"/>
        <v>100</v>
      </c>
      <c r="X29" s="1539"/>
      <c r="Y29" s="3308"/>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08"/>
      <c r="Q30" s="1536" t="str">
        <f t="shared" si="11"/>
        <v>建筑面积</v>
      </c>
      <c r="R30" s="714" t="s">
        <v>17</v>
      </c>
      <c r="S30" s="715" t="e">
        <f t="shared" si="12"/>
        <v>#N/A</v>
      </c>
      <c r="T30" s="714" t="s">
        <v>17</v>
      </c>
      <c r="U30" s="715" t="e">
        <f t="shared" si="13"/>
        <v>#N/A</v>
      </c>
      <c r="V30" s="714" t="s">
        <v>17</v>
      </c>
      <c r="W30" s="715" t="e">
        <f t="shared" si="14"/>
        <v>#N/A</v>
      </c>
      <c r="X30" s="1539"/>
      <c r="Y30" s="3308"/>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08"/>
      <c r="Q31" s="1527" t="str">
        <f t="shared" si="11"/>
        <v>是否封闭</v>
      </c>
      <c r="R31" s="710" t="s">
        <v>17</v>
      </c>
      <c r="S31" s="711">
        <f t="shared" si="12"/>
        <v>100</v>
      </c>
      <c r="T31" s="710" t="s">
        <v>17</v>
      </c>
      <c r="U31" s="711">
        <f t="shared" si="13"/>
        <v>100</v>
      </c>
      <c r="V31" s="710" t="s">
        <v>17</v>
      </c>
      <c r="W31" s="711">
        <f t="shared" si="14"/>
        <v>100</v>
      </c>
      <c r="X31" s="712"/>
      <c r="Y31" s="330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08" t="s">
        <v>2386</v>
      </c>
      <c r="Q32" s="1536">
        <f t="shared" si="11"/>
        <v>111</v>
      </c>
      <c r="R32" s="714" t="s">
        <v>17</v>
      </c>
      <c r="S32" s="715">
        <f t="shared" si="12"/>
        <v>100</v>
      </c>
      <c r="T32" s="714" t="s">
        <v>17</v>
      </c>
      <c r="U32" s="715">
        <f t="shared" si="13"/>
        <v>100</v>
      </c>
      <c r="V32" s="714" t="s">
        <v>17</v>
      </c>
      <c r="W32" s="715">
        <f t="shared" si="14"/>
        <v>100</v>
      </c>
      <c r="X32" s="1539"/>
      <c r="Y32" s="3308"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08"/>
      <c r="Q33" s="1536">
        <f t="shared" si="11"/>
        <v>111</v>
      </c>
      <c r="R33" s="714" t="s">
        <v>17</v>
      </c>
      <c r="S33" s="715">
        <f t="shared" si="12"/>
        <v>100</v>
      </c>
      <c r="T33" s="714" t="s">
        <v>17</v>
      </c>
      <c r="U33" s="715">
        <f t="shared" si="13"/>
        <v>100</v>
      </c>
      <c r="V33" s="714" t="s">
        <v>17</v>
      </c>
      <c r="W33" s="715">
        <f t="shared" si="14"/>
        <v>100</v>
      </c>
      <c r="X33" s="1539"/>
      <c r="Y33" s="3308"/>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08"/>
      <c r="Q34" s="1536">
        <f t="shared" si="11"/>
        <v>111</v>
      </c>
      <c r="R34" s="714" t="s">
        <v>17</v>
      </c>
      <c r="S34" s="715">
        <f t="shared" si="12"/>
        <v>100</v>
      </c>
      <c r="T34" s="714" t="s">
        <v>17</v>
      </c>
      <c r="U34" s="715">
        <f t="shared" si="13"/>
        <v>100</v>
      </c>
      <c r="V34" s="714" t="s">
        <v>17</v>
      </c>
      <c r="W34" s="715">
        <f t="shared" si="14"/>
        <v>100</v>
      </c>
      <c r="X34" s="1539"/>
      <c r="Y34" s="3308"/>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290" t="str">
        <f>A35</f>
        <v>成交单价（元/平方米）</v>
      </c>
      <c r="Q35" s="3290"/>
      <c r="R35" s="3310">
        <f>E35</f>
        <v>0</v>
      </c>
      <c r="S35" s="3310"/>
      <c r="T35" s="3310">
        <f>G35</f>
        <v>0</v>
      </c>
      <c r="U35" s="3310"/>
      <c r="V35" s="3310">
        <f>I35</f>
        <v>0</v>
      </c>
      <c r="W35" s="3310"/>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290" t="str">
        <f>A36</f>
        <v>比较价值（元/平方米）</v>
      </c>
      <c r="Q36" s="3290"/>
      <c r="R36" s="3310" t="e">
        <f>IF(F1="售价",ROUND(PRODUCT(R35,AA7:AA34),0),ROUND(PRODUCT(R35,AA7:AA34),1))</f>
        <v>#DIV/0!</v>
      </c>
      <c r="S36" s="3310"/>
      <c r="T36" s="3310" t="e">
        <f>IF(F1="售价",ROUND(PRODUCT(T35,AB7:AB34),0),ROUND(PRODUCT(T35,AB7:AB34),1))</f>
        <v>#DIV/0!</v>
      </c>
      <c r="U36" s="3310"/>
      <c r="V36" s="3310" t="e">
        <f>IF(F1="售价",ROUND(PRODUCT(V35,AC7:AC34),0),ROUND(PRODUCT(V35,AC7:AC34),1))</f>
        <v>#DIV/0!</v>
      </c>
      <c r="W36" s="3310"/>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1" t="str">
        <f>A37</f>
        <v>估价对象XX用房的比较价值（楼面单价，元/平方米）</v>
      </c>
      <c r="Q37" s="3312"/>
      <c r="R37" s="3314" t="e">
        <f>IF(F1="售价",ROUND(IF(D36="简单平均",AVERAGE(R36:W36),R36*F36+T36*H36+V36*J36),0),ROUND(IF(D36="简单平均",AVERAGE(R36:V36),R36*F36+T36*H36+V36*J36),1))</f>
        <v>#DIV/0!</v>
      </c>
      <c r="S37" s="3314"/>
      <c r="T37" s="3314"/>
      <c r="U37" s="3314"/>
      <c r="V37" s="3314"/>
      <c r="W37" s="3314"/>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50" priority="18" stopIfTrue="1" operator="containsText" text="超过">
      <formula>NOT(ISERROR(SEARCH("超过",F40)))</formula>
    </cfRule>
  </conditionalFormatting>
  <conditionalFormatting sqref="J42">
    <cfRule type="containsText" dxfId="149" priority="17" stopIfTrue="1" operator="containsText" text="超过">
      <formula>NOT(ISERROR(SEARCH("超过",J42)))</formula>
    </cfRule>
  </conditionalFormatting>
  <conditionalFormatting sqref="H42">
    <cfRule type="containsText" dxfId="148" priority="16" stopIfTrue="1" operator="containsText" text="超过">
      <formula>NOT(ISERROR(SEARCH("超过",H42)))</formula>
    </cfRule>
  </conditionalFormatting>
  <conditionalFormatting sqref="F42">
    <cfRule type="containsText" dxfId="147" priority="15" stopIfTrue="1" operator="containsText" text="超过">
      <formula>NOT(ISERROR(SEARCH("超过",F42)))</formula>
    </cfRule>
  </conditionalFormatting>
  <conditionalFormatting sqref="F41 H41 J41">
    <cfRule type="containsText" dxfId="146" priority="14" stopIfTrue="1" operator="containsText" text="超过">
      <formula>NOT(ISERROR(SEARCH("超过",F41)))</formula>
    </cfRule>
  </conditionalFormatting>
  <conditionalFormatting sqref="E40">
    <cfRule type="expression" dxfId="145" priority="13" stopIfTrue="1">
      <formula>$F$40="超过30%"</formula>
    </cfRule>
  </conditionalFormatting>
  <conditionalFormatting sqref="G42">
    <cfRule type="expression" dxfId="144" priority="12" stopIfTrue="1">
      <formula>$H$54+$H$42="超过30%"</formula>
    </cfRule>
  </conditionalFormatting>
  <conditionalFormatting sqref="E41">
    <cfRule type="expression" dxfId="143" priority="11" stopIfTrue="1">
      <formula>$F$41="超过20%"</formula>
    </cfRule>
  </conditionalFormatting>
  <conditionalFormatting sqref="E42">
    <cfRule type="expression" dxfId="142" priority="10" stopIfTrue="1">
      <formula>$F$42="超过30%"</formula>
    </cfRule>
  </conditionalFormatting>
  <conditionalFormatting sqref="G40">
    <cfRule type="expression" dxfId="141" priority="9" stopIfTrue="1">
      <formula>$H$52+$H$40="超过30%"</formula>
    </cfRule>
  </conditionalFormatting>
  <conditionalFormatting sqref="G41">
    <cfRule type="expression" dxfId="140" priority="8" stopIfTrue="1">
      <formula>$H$53+$H$41="超过20%"</formula>
    </cfRule>
  </conditionalFormatting>
  <conditionalFormatting sqref="I40">
    <cfRule type="expression" dxfId="139" priority="7" stopIfTrue="1">
      <formula>$J$40="超过30%"</formula>
    </cfRule>
  </conditionalFormatting>
  <conditionalFormatting sqref="I41">
    <cfRule type="expression" dxfId="138" priority="6" stopIfTrue="1">
      <formula>$J$41="超过20%"</formula>
    </cfRule>
  </conditionalFormatting>
  <conditionalFormatting sqref="I42">
    <cfRule type="expression" dxfId="137" priority="5" stopIfTrue="1">
      <formula>$J$42="超过30%"</formula>
    </cfRule>
  </conditionalFormatting>
  <conditionalFormatting sqref="F36">
    <cfRule type="expression" dxfId="136" priority="4">
      <formula>$D$36="简单平均"</formula>
    </cfRule>
  </conditionalFormatting>
  <conditionalFormatting sqref="H36">
    <cfRule type="expression" dxfId="135" priority="3">
      <formula>$D$36="简单平均"</formula>
    </cfRule>
  </conditionalFormatting>
  <conditionalFormatting sqref="J36">
    <cfRule type="expression" dxfId="134" priority="2">
      <formula>$D$36="简单平均"</formula>
    </cfRule>
  </conditionalFormatting>
  <conditionalFormatting sqref="F7:F34 H7:H34 J7:J34">
    <cfRule type="cellIs" dxfId="13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35.72</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25840</v>
      </c>
      <c r="C2" s="1571" t="s">
        <v>1481</v>
      </c>
      <c r="D2" s="1571"/>
      <c r="E2" s="1572"/>
      <c r="F2" s="1573"/>
      <c r="G2" s="2935"/>
      <c r="H2" s="2924"/>
      <c r="I2" s="2924"/>
      <c r="J2" s="2924"/>
      <c r="K2" s="2925"/>
      <c r="L2" s="2924"/>
      <c r="M2" s="2924"/>
    </row>
    <row r="3" spans="1:37" ht="18" customHeight="1" thickBot="1">
      <c r="A3" s="1574" t="s">
        <v>1482</v>
      </c>
      <c r="B3" s="1575">
        <f ca="1">IF(ISERROR(B2*10000/F43),0,ROUND(B2*10000/F43,0))</f>
        <v>12077</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1595</v>
      </c>
      <c r="D5" s="1548" t="s">
        <v>1367</v>
      </c>
      <c r="E5" s="1203"/>
      <c r="F5" s="1204"/>
      <c r="G5" s="1568"/>
      <c r="H5" s="305">
        <v>1</v>
      </c>
      <c r="I5" s="306" t="s">
        <v>1366</v>
      </c>
      <c r="J5" s="1202">
        <f ca="1">J6+J10+J12</f>
        <v>0</v>
      </c>
      <c r="K5" s="1548" t="s">
        <v>1367</v>
      </c>
      <c r="L5" s="1203"/>
      <c r="M5" s="1204"/>
    </row>
    <row r="6" spans="1:37" ht="18" customHeight="1">
      <c r="A6" s="1201" t="s">
        <v>1003</v>
      </c>
      <c r="B6" s="3317" t="s">
        <v>1368</v>
      </c>
      <c r="C6" s="1206">
        <f ca="1">ROUND(F6*F8*F7*(1-F9)/10000,0)</f>
        <v>1593</v>
      </c>
      <c r="D6" s="160" t="s">
        <v>2850</v>
      </c>
      <c r="E6" s="308" t="s">
        <v>1370</v>
      </c>
      <c r="F6" s="309">
        <f ca="1">INDIRECT("'数据-取费表'!u"&amp;$G$1)</f>
        <v>2.4</v>
      </c>
      <c r="G6" s="1568"/>
      <c r="H6" s="1201" t="s">
        <v>1003</v>
      </c>
      <c r="I6" s="3317" t="s">
        <v>1368</v>
      </c>
      <c r="J6" s="307">
        <f ca="1">ROUND(M6*M8*M7*(1-M9)/10000,0)</f>
        <v>0</v>
      </c>
      <c r="K6" s="160" t="s">
        <v>2849</v>
      </c>
      <c r="L6" s="308" t="s">
        <v>1370</v>
      </c>
      <c r="M6" s="309">
        <f ca="1">INDIRECT("'数据-取费表'!z"&amp;$G$1)</f>
        <v>0</v>
      </c>
    </row>
    <row r="7" spans="1:37" ht="18" customHeight="1">
      <c r="A7" s="1205"/>
      <c r="B7" s="3318"/>
      <c r="C7" s="1207"/>
      <c r="D7" s="313"/>
      <c r="E7" s="1208" t="s">
        <v>1371</v>
      </c>
      <c r="F7" s="309">
        <f ca="1">IF(INDIRECT("'数据-取费表'!ah"&amp;$G$1)="",INDIRECT("'数据-取费表'!k"&amp;$G$1),INDIRECT("'数据-取费表'!ah"&amp;$G$1))</f>
        <v>21395.8</v>
      </c>
      <c r="G7" s="1568"/>
      <c r="H7" s="310"/>
      <c r="I7" s="3318"/>
      <c r="J7" s="312"/>
      <c r="K7" s="313"/>
      <c r="L7" s="308" t="s">
        <v>1371</v>
      </c>
      <c r="M7" s="309">
        <f ca="1">F7</f>
        <v>21395.8</v>
      </c>
    </row>
    <row r="8" spans="1:37" ht="18" customHeight="1">
      <c r="A8" s="310"/>
      <c r="B8" s="3318"/>
      <c r="C8" s="312"/>
      <c r="D8" s="313"/>
      <c r="E8" s="308" t="s">
        <v>1372</v>
      </c>
      <c r="F8" s="309">
        <f ca="1">INDIRECT("'数据-取费表'!ai"&amp;$G$1)</f>
        <v>365</v>
      </c>
      <c r="G8" s="1568"/>
      <c r="H8" s="310"/>
      <c r="I8" s="3318"/>
      <c r="J8" s="312"/>
      <c r="K8" s="313"/>
      <c r="L8" s="308" t="s">
        <v>1372</v>
      </c>
      <c r="M8" s="309">
        <f ca="1">INDIRECT("'数据-取费表'!ai"&amp;$G$1)</f>
        <v>365</v>
      </c>
    </row>
    <row r="9" spans="1:37" ht="18" customHeight="1">
      <c r="A9" s="310"/>
      <c r="B9" s="3319"/>
      <c r="C9" s="312"/>
      <c r="D9" s="313"/>
      <c r="E9" s="308" t="s">
        <v>1373</v>
      </c>
      <c r="F9" s="318">
        <f ca="1">INDIRECT("'数据-取费表'!w"&amp;$G$1)</f>
        <v>0.15</v>
      </c>
      <c r="G9" s="1568"/>
      <c r="H9" s="310"/>
      <c r="I9" s="3319"/>
      <c r="J9" s="312"/>
      <c r="K9" s="313"/>
      <c r="L9" s="319" t="s">
        <v>1373</v>
      </c>
      <c r="M9" s="320">
        <f ca="1">INDIRECT("'数据-取费表'!ab"&amp;$G$1)</f>
        <v>0</v>
      </c>
    </row>
    <row r="10" spans="1:37" ht="18" customHeight="1">
      <c r="A10" s="1201" t="s">
        <v>1007</v>
      </c>
      <c r="B10" s="1549" t="s">
        <v>1374</v>
      </c>
      <c r="C10" s="322">
        <f ca="1">ROUND(IF(F10="押一",C6/12*F11,IF(F10="押二",C6/12*2*F11,IF(F10="押三",C6/12*3*F11,C11*F11))),0)</f>
        <v>2</v>
      </c>
      <c r="D10" s="1550" t="s">
        <v>2858</v>
      </c>
      <c r="E10" s="319" t="s">
        <v>1375</v>
      </c>
      <c r="F10" s="1276" t="s">
        <v>3124</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3528</v>
      </c>
      <c r="D13" s="1241" t="s">
        <v>1380</v>
      </c>
      <c r="E13" s="1241" t="s">
        <v>1381</v>
      </c>
      <c r="F13" s="1242">
        <f ca="1">INDIRECT("'数据-取费表'!y"&amp;$G$1)</f>
        <v>0.61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4279</v>
      </c>
      <c r="D14" s="1529" t="s">
        <v>1383</v>
      </c>
      <c r="E14" s="1526"/>
      <c r="F14" s="325"/>
      <c r="G14" s="1568"/>
      <c r="H14" s="1113" t="s">
        <v>1003</v>
      </c>
      <c r="I14" s="308" t="s">
        <v>1384</v>
      </c>
      <c r="J14" s="24">
        <f ca="1">C29</f>
        <v>5783</v>
      </c>
      <c r="K14" s="15"/>
      <c r="L14" s="916"/>
      <c r="M14" s="917"/>
    </row>
    <row r="15" spans="1:37" s="1581" customFormat="1" ht="18" customHeight="1" thickBot="1">
      <c r="A15" s="1113" t="s">
        <v>1004</v>
      </c>
      <c r="B15" s="308" t="s">
        <v>1385</v>
      </c>
      <c r="C15" s="24">
        <f ca="1">ROUND(C14*F15,0)</f>
        <v>128</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147</v>
      </c>
      <c r="K16" s="1247" t="s">
        <v>1390</v>
      </c>
      <c r="L16" s="1248"/>
      <c r="M16" s="1204"/>
    </row>
    <row r="17" spans="1:37" s="1581" customFormat="1" ht="18" customHeight="1">
      <c r="A17" s="1113" t="s">
        <v>1355</v>
      </c>
      <c r="B17" s="308" t="s">
        <v>1391</v>
      </c>
      <c r="C17" s="24">
        <f ca="1">ROUND(F17*(F43+INDIRECT("'数据-取费表'!S"&amp;$G$1))/10000,0)</f>
        <v>428</v>
      </c>
      <c r="D17" s="308" t="s">
        <v>1392</v>
      </c>
      <c r="E17" s="308" t="s">
        <v>1393</v>
      </c>
      <c r="F17" s="26">
        <f>'数据-取费表'!B35</f>
        <v>200</v>
      </c>
      <c r="G17" s="1580"/>
      <c r="H17" s="1113" t="s">
        <v>1003</v>
      </c>
      <c r="I17" s="308" t="s">
        <v>1394</v>
      </c>
      <c r="J17" s="2534">
        <f ca="1">ROUND(IF(AND(项目基本情况!B11="自然人",项目基本情况!B10="北京市"),J6*M17/(1+'数据-取费表'!C42),J18+J19+J20),0)</f>
        <v>60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64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4899</v>
      </c>
      <c r="D19" s="136" t="s">
        <v>1401</v>
      </c>
      <c r="E19" s="1544"/>
      <c r="F19" s="26"/>
      <c r="G19" s="1568"/>
      <c r="H19" s="1113" t="s">
        <v>1004</v>
      </c>
      <c r="I19" s="308" t="s">
        <v>1402</v>
      </c>
      <c r="J19" s="24">
        <f ca="1">IF(K19="按租金收入计税",ROUND(J6*M19/(1+'数据-取费表'!C42),2),ROUND(C29*M19*0.7,2))</f>
        <v>48.58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98</v>
      </c>
      <c r="D20" s="329" t="s">
        <v>1405</v>
      </c>
      <c r="E20" s="308" t="s">
        <v>1387</v>
      </c>
      <c r="F20" s="328">
        <f>'数据-取费表'!B37</f>
        <v>0.02</v>
      </c>
      <c r="G20" s="1580"/>
      <c r="H20" s="1113" t="s">
        <v>1354</v>
      </c>
      <c r="I20" s="160" t="s">
        <v>1406</v>
      </c>
      <c r="J20" s="25">
        <f ca="1">ROUND(M20*M21/10000,2)</f>
        <v>11.82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78780.759999999995</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86.7</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109</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-147</v>
      </c>
      <c r="K25" s="1255" t="s">
        <v>1429</v>
      </c>
      <c r="L25" s="1256"/>
      <c r="M25" s="1257"/>
    </row>
    <row r="26" spans="1:37">
      <c r="A26" s="1113" t="s">
        <v>1002</v>
      </c>
      <c r="B26" s="308" t="s">
        <v>1430</v>
      </c>
      <c r="C26" s="24">
        <f ca="1">ROUND((C19+C20)*F26,0)</f>
        <v>250</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5783</v>
      </c>
      <c r="D29" s="1252"/>
      <c r="E29" s="1250"/>
      <c r="F29" s="1253"/>
      <c r="G29" s="1580"/>
      <c r="H29" s="340" t="s">
        <v>1001</v>
      </c>
      <c r="I29" s="341" t="s">
        <v>1444</v>
      </c>
      <c r="J29" s="342">
        <f ca="1">ROUND(J26/(1+F40)^F41,0)</f>
        <v>0</v>
      </c>
      <c r="K29" s="343" t="s">
        <v>1445</v>
      </c>
      <c r="L29" s="344"/>
      <c r="M29" s="345">
        <f ca="1">INDIRECT("'数据-取费表'!k"&amp;$G$1)</f>
        <v>21395.8</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393</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277</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83.44</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182.06</v>
      </c>
      <c r="D33" s="1554" t="s">
        <v>3125</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11.82</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78780.759999999995</v>
      </c>
      <c r="G35" s="1568"/>
      <c r="H35" s="2926"/>
      <c r="I35" s="1582"/>
      <c r="J35" s="1583"/>
      <c r="K35" s="2930"/>
      <c r="L35" s="2929"/>
      <c r="M35" s="2929"/>
    </row>
    <row r="36" spans="1:18" ht="18" customHeight="1">
      <c r="A36" s="1262" t="s">
        <v>1007</v>
      </c>
      <c r="B36" s="308" t="s">
        <v>1414</v>
      </c>
      <c r="C36" s="24">
        <f ca="1">ROUND(C29*F36,1)</f>
        <v>86.7</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5.3</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23.9</v>
      </c>
      <c r="D38" s="1252" t="s">
        <v>1424</v>
      </c>
      <c r="E38" s="1250" t="s">
        <v>1420</v>
      </c>
      <c r="F38" s="1246">
        <f ca="1">INDIRECT("'数据-取费表'!Am"&amp;$G$1)</f>
        <v>1.4999999999999999E-2</v>
      </c>
      <c r="G38" s="1568"/>
      <c r="H38" s="2929"/>
      <c r="I38" s="1582"/>
      <c r="J38" s="1583"/>
      <c r="K38" s="2933"/>
      <c r="L38" s="2929"/>
      <c r="M38" s="2929"/>
    </row>
    <row r="39" spans="1:18" ht="24.6" customHeight="1" thickTop="1">
      <c r="A39" s="1239" t="s">
        <v>999</v>
      </c>
      <c r="B39" s="1254" t="s">
        <v>1448</v>
      </c>
      <c r="C39" s="316">
        <f ca="1">C5-C30</f>
        <v>1202</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25840</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35.72</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12077</v>
      </c>
      <c r="D43" s="343" t="s">
        <v>1453</v>
      </c>
      <c r="E43" s="344" t="s">
        <v>1454</v>
      </c>
      <c r="F43" s="345">
        <f ca="1">INDIRECT("'数据-取费表'!k"&amp;$G$1)</f>
        <v>21395.8</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-35575</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3126</v>
      </c>
      <c r="K47" s="1600" t="s">
        <v>1492</v>
      </c>
      <c r="L47" s="1601">
        <f ca="1">INDIRECT("'数据-取费表'!d"&amp;$G$1)</f>
        <v>50</v>
      </c>
      <c r="M47" s="1564" t="str">
        <f>IF(ISNUMBER(FIND("住宅",C1)),"住宅","非住宅")</f>
        <v>非住宅</v>
      </c>
      <c r="O47" s="1602" t="s">
        <v>1008</v>
      </c>
      <c r="P47" s="1603" t="s">
        <v>1493</v>
      </c>
      <c r="Q47" s="1604">
        <f ca="1">C40+J29</f>
        <v>25840</v>
      </c>
      <c r="R47" s="1604" t="s">
        <v>1494</v>
      </c>
    </row>
    <row r="48" spans="1:18" s="1568" customFormat="1" ht="28.5" thickBot="1">
      <c r="A48" s="1270" t="s">
        <v>1103</v>
      </c>
      <c r="B48" s="306" t="s">
        <v>1366</v>
      </c>
      <c r="C48" s="1543">
        <f ca="1">C49+C53+C55</f>
        <v>0</v>
      </c>
      <c r="D48" s="1272"/>
      <c r="E48" s="1273"/>
      <c r="F48" s="1093"/>
      <c r="G48" s="731"/>
      <c r="H48" s="732"/>
      <c r="I48" s="1605" t="s">
        <v>1495</v>
      </c>
      <c r="J48" s="1606" t="s">
        <v>3127</v>
      </c>
      <c r="K48" s="1607" t="s">
        <v>1496</v>
      </c>
      <c r="L48" s="1608">
        <f ca="1">INDIRECT("'数据-取费表'!f"&amp;$G$1)</f>
        <v>35.72</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2020</v>
      </c>
      <c r="K49" s="1607" t="s">
        <v>1500</v>
      </c>
      <c r="L49" s="1611"/>
      <c r="O49" s="1612" t="s">
        <v>1010</v>
      </c>
      <c r="P49" s="1603" t="s">
        <v>1501</v>
      </c>
      <c r="Q49" s="1604">
        <f ca="1">C29</f>
        <v>5783</v>
      </c>
      <c r="R49" s="1604" t="s">
        <v>1494</v>
      </c>
    </row>
    <row r="50" spans="1:18" s="1568" customFormat="1" ht="13.5" thickBot="1">
      <c r="A50" s="1107"/>
      <c r="B50" s="1110"/>
      <c r="C50" s="1278"/>
      <c r="D50" s="1084"/>
      <c r="E50" s="1187" t="s">
        <v>1371</v>
      </c>
      <c r="F50" s="1188">
        <f ca="1">F7</f>
        <v>21395.8</v>
      </c>
      <c r="H50" s="732"/>
      <c r="I50" s="1605" t="s">
        <v>1502</v>
      </c>
      <c r="J50" s="1613">
        <f>SUMPRODUCT((I63:I65=J47)*(J62:L62=J48)*(J63:L65))</f>
        <v>40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39</v>
      </c>
      <c r="K51" s="1618" t="s">
        <v>1506</v>
      </c>
      <c r="L51" s="1619">
        <f ca="1">ROUND(-PV(INDIRECT("'数据-取费表'!h"&amp;$G$1),J51,(C39-C13*C76),0),0)</f>
        <v>17410</v>
      </c>
      <c r="M51" s="1620"/>
      <c r="O51" s="1612" t="s">
        <v>1012</v>
      </c>
      <c r="P51" s="1603" t="s">
        <v>1507</v>
      </c>
      <c r="Q51" s="1615">
        <f>J52</f>
        <v>7.4999999999999997E-2</v>
      </c>
      <c r="R51" s="1604"/>
    </row>
    <row r="52" spans="1:18" s="1568" customFormat="1" ht="13.5" thickBot="1">
      <c r="A52" s="1108"/>
      <c r="B52" s="1110"/>
      <c r="C52" s="1111"/>
      <c r="D52" s="1084"/>
      <c r="E52" s="1112" t="s">
        <v>1373</v>
      </c>
      <c r="F52" s="1185"/>
      <c r="I52" s="1621" t="s">
        <v>1508</v>
      </c>
      <c r="J52" s="1622">
        <v>7.4999999999999997E-2</v>
      </c>
      <c r="K52" s="1621" t="s">
        <v>1509</v>
      </c>
      <c r="L52" s="1622"/>
      <c r="O52" s="1612" t="s">
        <v>1013</v>
      </c>
      <c r="P52" s="1603" t="s">
        <v>1510</v>
      </c>
      <c r="Q52" s="1604">
        <f ca="1">J53</f>
        <v>35.72</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35.72</v>
      </c>
      <c r="K53" s="3315" t="s">
        <v>1513</v>
      </c>
      <c r="L53" s="3316"/>
      <c r="O53" s="1602" t="s">
        <v>1014</v>
      </c>
      <c r="P53" s="1603" t="s">
        <v>1514</v>
      </c>
      <c r="Q53" s="1604">
        <f ca="1">Q47+Q48</f>
        <v>25840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3528</v>
      </c>
      <c r="D56" s="1631"/>
      <c r="E56" s="1632"/>
      <c r="F56" s="1624"/>
      <c r="I56" s="1633" t="s">
        <v>1519</v>
      </c>
      <c r="J56" s="1634" t="s">
        <v>3099</v>
      </c>
      <c r="K56" s="1605" t="s">
        <v>1520</v>
      </c>
      <c r="L56" s="1608" t="str">
        <f ca="1">IF(L48&lt;J51,"——",L48-J53)</f>
        <v>——</v>
      </c>
      <c r="O56" s="1602" t="s">
        <v>1008</v>
      </c>
      <c r="P56" s="1603" t="s">
        <v>1493</v>
      </c>
      <c r="Q56" s="1604">
        <f ca="1">C40+J29</f>
        <v>25840</v>
      </c>
      <c r="R56" s="1604" t="s">
        <v>1494</v>
      </c>
    </row>
    <row r="57" spans="1:18" s="1568" customFormat="1" ht="24.75" thickBot="1">
      <c r="A57" s="1635"/>
      <c r="B57" s="1081" t="s">
        <v>1443</v>
      </c>
      <c r="C57" s="244">
        <f ca="1">C29</f>
        <v>5783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590</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498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485.77</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11.82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25840</v>
      </c>
      <c r="R62" s="1604" t="s">
        <v>1015</v>
      </c>
    </row>
    <row r="63" spans="1:18" s="1568" customFormat="1" ht="13.5" thickBot="1">
      <c r="A63" s="332"/>
      <c r="B63" s="1087"/>
      <c r="C63" s="29"/>
      <c r="D63" s="1097"/>
      <c r="E63" s="1081" t="s">
        <v>1464</v>
      </c>
      <c r="F63" s="309">
        <f t="shared" ca="1" si="0"/>
        <v>78780.759999999995</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86.7</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5.3</v>
      </c>
      <c r="D65" s="1095" t="s">
        <v>1419</v>
      </c>
      <c r="E65" s="1081" t="s">
        <v>1420</v>
      </c>
      <c r="F65" s="336">
        <f t="shared" ca="1" si="0"/>
        <v>1.5E-3</v>
      </c>
      <c r="I65" s="1646" t="s">
        <v>1544</v>
      </c>
      <c r="J65" s="1647">
        <v>40</v>
      </c>
      <c r="K65" s="1647">
        <v>30</v>
      </c>
      <c r="L65" s="1647">
        <v>50</v>
      </c>
      <c r="M65" s="1649">
        <v>0.02</v>
      </c>
      <c r="O65" s="1602" t="s">
        <v>1008</v>
      </c>
      <c r="P65" s="1603" t="s">
        <v>1545</v>
      </c>
      <c r="Q65" s="1604">
        <f ca="1">C40+J29</f>
        <v>25840</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-590</v>
      </c>
      <c r="D67" s="1094" t="s">
        <v>1429</v>
      </c>
      <c r="E67" s="1099"/>
      <c r="F67" s="1100"/>
      <c r="O67" s="1612" t="s">
        <v>1010</v>
      </c>
      <c r="P67" s="1603" t="s">
        <v>1527</v>
      </c>
      <c r="Q67" s="1650">
        <f ca="1">L51</f>
        <v>17410</v>
      </c>
      <c r="R67" s="1604" t="s">
        <v>1547</v>
      </c>
    </row>
    <row r="68" spans="1:18" s="1568" customFormat="1" ht="16.5" thickBot="1">
      <c r="A68" s="1078" t="s">
        <v>1000</v>
      </c>
      <c r="B68" s="1079" t="s">
        <v>1450</v>
      </c>
      <c r="C68" s="307">
        <f ca="1">ROUND(C67*(1-((1+F70)/(1+F68))^F69)/(F68-F70),0)</f>
        <v>-9735</v>
      </c>
      <c r="D68" s="1096" t="s">
        <v>1434</v>
      </c>
      <c r="E68" s="1081" t="s">
        <v>1435</v>
      </c>
      <c r="F68" s="318">
        <f ca="1">F40</f>
        <v>0.05</v>
      </c>
      <c r="O68" s="1612" t="s">
        <v>1011</v>
      </c>
      <c r="P68" s="1651" t="s">
        <v>1548</v>
      </c>
      <c r="Q68" s="1604">
        <f ca="1">ROUND(Q69-Q70*Q71,0)</f>
        <v>955</v>
      </c>
      <c r="R68" s="1604" t="s">
        <v>1019</v>
      </c>
    </row>
    <row r="69" spans="1:18" s="1568" customFormat="1" ht="13.5" thickBot="1">
      <c r="A69" s="1082"/>
      <c r="B69" s="1083"/>
      <c r="C69" s="312"/>
      <c r="D69" s="1101" t="s">
        <v>1438</v>
      </c>
      <c r="E69" s="1081" t="s">
        <v>1439</v>
      </c>
      <c r="F69" s="339">
        <f ca="1">F41</f>
        <v>35.72</v>
      </c>
      <c r="O69" s="1612" t="s">
        <v>1016</v>
      </c>
      <c r="P69" s="1651" t="s">
        <v>1549</v>
      </c>
      <c r="Q69" s="1604">
        <f ca="1">C39</f>
        <v>1202</v>
      </c>
      <c r="R69" s="1604" t="s">
        <v>1494</v>
      </c>
    </row>
    <row r="70" spans="1:18" s="1568" customFormat="1" ht="13.5" thickBot="1">
      <c r="A70" s="1085"/>
      <c r="B70" s="1086"/>
      <c r="C70" s="316"/>
      <c r="D70" s="1097"/>
      <c r="E70" s="1081" t="s">
        <v>1442</v>
      </c>
      <c r="F70" s="1185"/>
      <c r="O70" s="1612" t="s">
        <v>1017</v>
      </c>
      <c r="P70" s="1651" t="s">
        <v>1550</v>
      </c>
      <c r="Q70" s="1604">
        <f ca="1">C13</f>
        <v>3528</v>
      </c>
      <c r="R70" s="1604" t="s">
        <v>1494</v>
      </c>
    </row>
    <row r="71" spans="1:18" s="1568" customFormat="1" ht="13.5" thickBot="1">
      <c r="A71" s="1102" t="s">
        <v>1001</v>
      </c>
      <c r="B71" s="1103" t="s">
        <v>1452</v>
      </c>
      <c r="C71" s="342">
        <f ca="1">ROUND(C68*10000/F71,0)</f>
        <v>-4550</v>
      </c>
      <c r="D71" s="1104" t="s">
        <v>1453</v>
      </c>
      <c r="E71" s="1105" t="s">
        <v>1454</v>
      </c>
      <c r="F71" s="345">
        <f ca="1">F43</f>
        <v>21395.8</v>
      </c>
      <c r="O71" s="1612" t="s">
        <v>1018</v>
      </c>
      <c r="P71" s="1651" t="s">
        <v>1551</v>
      </c>
      <c r="Q71" s="1615">
        <f ca="1">C76</f>
        <v>7.0000000000000007E-2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247</v>
      </c>
      <c r="D75" s="1568"/>
      <c r="E75" s="1568"/>
      <c r="F75" s="1568"/>
      <c r="K75" s="1586"/>
      <c r="L75" s="1568"/>
      <c r="O75" s="1602" t="s">
        <v>1014</v>
      </c>
      <c r="P75" s="1603" t="s">
        <v>1514</v>
      </c>
      <c r="Q75" s="1604">
        <f ca="1">Q65+Q66</f>
        <v>25840</v>
      </c>
      <c r="R75" s="1604" t="s">
        <v>1015</v>
      </c>
    </row>
    <row r="76" spans="1:18">
      <c r="B76" s="348" t="s">
        <v>1472</v>
      </c>
      <c r="C76" s="349">
        <f ca="1">INDIRECT("'数据-取费表'!j"&amp;$G$1)</f>
        <v>7.0000000000000007E-2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0.79500000000000004</v>
      </c>
    </row>
    <row r="80" spans="1:18">
      <c r="B80" s="346" t="s">
        <v>1476</v>
      </c>
      <c r="C80" s="280">
        <f ca="1">ROUND(C75/C39,3)</f>
        <v>0.20499999999999999</v>
      </c>
    </row>
    <row r="81" spans="2:3">
      <c r="B81" s="276" t="s">
        <v>1477</v>
      </c>
      <c r="C81" s="244"/>
    </row>
    <row r="82" spans="2:3">
      <c r="B82" s="279" t="s">
        <v>1478</v>
      </c>
      <c r="C82" s="281">
        <f ca="1">1-C83</f>
        <v>0.86299999999999999</v>
      </c>
    </row>
    <row r="83" spans="2:3">
      <c r="B83" s="279" t="s">
        <v>1479</v>
      </c>
      <c r="C83" s="280">
        <f ca="1">ROUND(C13/C40,3)</f>
        <v>0.13700000000000001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34" sqref="J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6</v>
      </c>
      <c r="C1" s="204"/>
      <c r="D1" s="204"/>
      <c r="E1" s="204"/>
      <c r="F1" s="204"/>
      <c r="G1" s="1288">
        <f>MATCH(B1,'数据-取费表'!A6:A16,0)+5</f>
        <v>6</v>
      </c>
    </row>
    <row r="2" spans="1:9" s="206" customFormat="1" ht="18" customHeight="1">
      <c r="A2" s="207" t="s">
        <v>2148</v>
      </c>
      <c r="B2" s="208">
        <f ca="1">IF(D2="——",C52,C52-E2)</f>
        <v>29235</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13664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21356</v>
      </c>
      <c r="D5" s="217" t="s">
        <v>2155</v>
      </c>
      <c r="E5" s="218" t="s">
        <v>2156</v>
      </c>
      <c r="F5" s="218" t="s">
        <v>2157</v>
      </c>
      <c r="G5" s="219"/>
    </row>
    <row r="6" spans="1:9" s="220" customFormat="1" ht="13.5" customHeight="1">
      <c r="A6" s="886" t="s">
        <v>2158</v>
      </c>
      <c r="B6" s="221" t="s">
        <v>2159</v>
      </c>
      <c r="C6" s="222">
        <f ca="1">'基准地价（汇总）'!B2</f>
        <v>20329</v>
      </c>
      <c r="D6" s="223"/>
      <c r="E6" s="224"/>
      <c r="F6" s="224"/>
      <c r="G6" s="225"/>
    </row>
    <row r="7" spans="1:9" s="220" customFormat="1" ht="13.5" customHeight="1">
      <c r="A7" s="886" t="s">
        <v>2160</v>
      </c>
      <c r="B7" s="221" t="s">
        <v>2161</v>
      </c>
      <c r="C7" s="226">
        <f ca="1">ROUND(C6*F7,0)</f>
        <v>620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407</v>
      </c>
      <c r="D8" s="228"/>
      <c r="E8" s="226"/>
      <c r="F8" s="227"/>
      <c r="G8" s="2042" t="s">
        <v>3121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150</v>
      </c>
      <c r="F9" s="227"/>
      <c r="G9" s="2043" t="s">
        <v>3122</v>
      </c>
      <c r="H9" s="1299"/>
      <c r="I9" s="2044" t="s">
        <v>2165</v>
      </c>
    </row>
    <row r="10" spans="1:9" s="220" customFormat="1" ht="13.5" customHeight="1">
      <c r="A10" s="887" t="s">
        <v>801</v>
      </c>
      <c r="B10" s="230" t="s">
        <v>2166</v>
      </c>
      <c r="C10" s="231">
        <f ca="1">ROUND(D10*E10/10000,0)</f>
        <v>407</v>
      </c>
      <c r="D10" s="954">
        <f ca="1">IF(B1="",'数据-汇总表'!E6,IF(INDIRECT("'数据-取费表'!c"&amp;$G$1)="住宅",INDIRECT("'数据-取费表'!s"&amp;$G$1),INDIRECT("'数据-取费表'!k"&amp;$G$1)+INDIRECT("'数据-取费表'!s"&amp;$G$1)))</f>
        <v>21395.8</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21395.8</v>
      </c>
      <c r="E19" s="217">
        <f>'数据-取费表'!B31</f>
        <v>200</v>
      </c>
      <c r="F19" s="237"/>
      <c r="G19" s="2042" t="s">
        <v>3123</v>
      </c>
    </row>
    <row r="20" spans="1:7" s="220" customFormat="1" ht="13.5" customHeight="1">
      <c r="A20" s="261" t="s">
        <v>2179</v>
      </c>
      <c r="B20" s="216" t="s">
        <v>2180</v>
      </c>
      <c r="C20" s="238">
        <f ca="1">ROUND((C5+C19)*F20,0)</f>
        <v>427</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938</v>
      </c>
      <c r="D22" s="241">
        <f ca="1">C26</f>
        <v>4.0000000000000002E-4</v>
      </c>
      <c r="E22" s="242" t="s">
        <v>2184</v>
      </c>
      <c r="F22" s="243">
        <f ca="1">'数据-取费表'!B40</f>
        <v>4.3499999999999997E-2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929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9</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1089</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1089</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25707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4899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4279</v>
      </c>
      <c r="D34" s="223"/>
      <c r="E34" s="226"/>
      <c r="F34" s="263">
        <f ca="1">IF('数据-取费表'!B24=0,1,IF(B1="",'数据-取费表'!N16,INDIRECT("'数据-取费表'!n"&amp;$G$1)))</f>
        <v>1</v>
      </c>
      <c r="G34" s="225" t="s">
        <v>2212</v>
      </c>
    </row>
    <row r="35" spans="1:7" ht="13.5" customHeight="1">
      <c r="A35" s="888" t="s">
        <v>796</v>
      </c>
      <c r="B35" s="221" t="s">
        <v>2213</v>
      </c>
      <c r="C35" s="226">
        <f ca="1">ROUND(C34*F35,0)</f>
        <v>128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428</v>
      </c>
      <c r="D37" s="223">
        <f ca="1">D19</f>
        <v>21395.8</v>
      </c>
      <c r="E37" s="255">
        <f>'数据-取费表'!B35</f>
        <v>200</v>
      </c>
      <c r="F37" s="265"/>
      <c r="G37" s="267" t="s">
        <v>2218</v>
      </c>
    </row>
    <row r="38" spans="1:7" ht="13.5" customHeight="1">
      <c r="A38" s="888" t="s">
        <v>799</v>
      </c>
      <c r="B38" s="221" t="s">
        <v>2219</v>
      </c>
      <c r="C38" s="226">
        <f ca="1">ROUND(C34*F38,0)</f>
        <v>64</v>
      </c>
      <c r="D38" s="226"/>
      <c r="E38" s="226"/>
      <c r="F38" s="265">
        <f>'数据-取费表'!B36</f>
        <v>1.4999999999999999E-2</v>
      </c>
      <c r="G38" s="225" t="s">
        <v>2214</v>
      </c>
    </row>
    <row r="39" spans="1:7" s="220" customFormat="1" ht="13.5" customHeight="1">
      <c r="A39" s="261" t="s">
        <v>2220</v>
      </c>
      <c r="B39" s="216" t="s">
        <v>2221</v>
      </c>
      <c r="C39" s="238">
        <f ca="1">ROUND(C33*F20,0)</f>
        <v>98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109</v>
      </c>
      <c r="D41" s="241">
        <f ca="1">C44</f>
        <v>4.0000000000000002E-4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107</v>
      </c>
      <c r="D42" s="244"/>
      <c r="E42" s="244"/>
      <c r="F42" s="245"/>
      <c r="G42" s="3320" t="s">
        <v>2230</v>
      </c>
    </row>
    <row r="43" spans="1:7" ht="13.5" customHeight="1">
      <c r="A43" s="888" t="s">
        <v>792</v>
      </c>
      <c r="B43" s="221" t="s">
        <v>2231</v>
      </c>
      <c r="C43" s="244">
        <f ca="1">ROUND(IF('数据-取费表'!B22&lt;=1,C39*F22*'数据-取费表'!B21/2,C39*(POWER((1+F22),'数据-取费表'!B21/2)-1)),0)</f>
        <v>2</v>
      </c>
      <c r="D43" s="244"/>
      <c r="E43" s="244"/>
      <c r="F43" s="245"/>
      <c r="G43" s="3321"/>
    </row>
    <row r="44" spans="1:7" ht="13.5" customHeight="1">
      <c r="A44" s="888" t="s">
        <v>793</v>
      </c>
      <c r="B44" s="221" t="s">
        <v>2232</v>
      </c>
      <c r="C44" s="244">
        <f ca="1">ROUND(IF('数据-取费表'!B22&lt;=1,C40*F22*'数据-取费表'!B21/2,C40*(POWER((1+F22),'数据-取费表'!B21/2)-1)),4)</f>
        <v>4.0000000000000002E-4</v>
      </c>
      <c r="D44" s="244"/>
      <c r="E44" s="244"/>
      <c r="F44" s="245"/>
      <c r="G44" s="3322"/>
    </row>
    <row r="45" spans="1:7" s="220" customFormat="1" ht="13.5" customHeight="1">
      <c r="A45" s="261" t="s">
        <v>2233</v>
      </c>
      <c r="B45" s="250" t="s">
        <v>2199</v>
      </c>
      <c r="C45" s="251">
        <f ca="1">C46</f>
        <v>250</v>
      </c>
      <c r="D45" s="241">
        <f ca="1">C47</f>
        <v>1E-3</v>
      </c>
      <c r="E45" s="242" t="s">
        <v>2225</v>
      </c>
      <c r="F45" s="2537">
        <f ca="1">F27</f>
        <v>0.05</v>
      </c>
      <c r="G45" s="253" t="s">
        <v>2234</v>
      </c>
    </row>
    <row r="46" spans="1:7" s="220" customFormat="1" ht="13.5" customHeight="1">
      <c r="A46" s="888" t="s">
        <v>791</v>
      </c>
      <c r="B46" s="254" t="s">
        <v>2235</v>
      </c>
      <c r="C46" s="255">
        <f ca="1">ROUND((C33+C39)*F27,0)</f>
        <v>250</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5783</v>
      </c>
      <c r="D49" s="238"/>
      <c r="E49" s="238"/>
      <c r="F49" s="270"/>
      <c r="G49" s="240" t="s">
        <v>2240</v>
      </c>
    </row>
    <row r="50" spans="1:7" s="264" customFormat="1" ht="24">
      <c r="A50" s="261" t="s">
        <v>2241</v>
      </c>
      <c r="B50" s="216" t="s">
        <v>2242</v>
      </c>
      <c r="C50" s="238"/>
      <c r="D50" s="238"/>
      <c r="E50" s="238"/>
      <c r="F50" s="270">
        <f>IF('数据-取费表'!B24=0,'数据-取费表'!N16,1)</f>
        <v>0.61</v>
      </c>
      <c r="G50" s="253" t="s">
        <v>2243</v>
      </c>
    </row>
    <row r="51" spans="1:7" ht="16.5" customHeight="1">
      <c r="A51" s="261" t="s">
        <v>2244</v>
      </c>
      <c r="B51" s="216" t="s">
        <v>2245</v>
      </c>
      <c r="C51" s="238">
        <f ca="1">ROUND(C49*F50,0)</f>
        <v>3528</v>
      </c>
      <c r="D51" s="238"/>
      <c r="E51" s="238"/>
      <c r="F51" s="270"/>
      <c r="G51" s="240" t="s">
        <v>2246</v>
      </c>
    </row>
    <row r="52" spans="1:7" s="214" customFormat="1" ht="16.5" thickBot="1">
      <c r="A52" s="271" t="s">
        <v>2247</v>
      </c>
      <c r="B52" s="272"/>
      <c r="C52" s="273">
        <f ca="1">C31+C51</f>
        <v>29235</v>
      </c>
      <c r="D52" s="272"/>
      <c r="E52" s="272"/>
      <c r="F52" s="272"/>
      <c r="G52" s="274"/>
    </row>
    <row r="55" spans="1:7" ht="15">
      <c r="B55" s="276" t="s">
        <v>2248</v>
      </c>
      <c r="C55" s="277"/>
    </row>
    <row r="56" spans="1:7">
      <c r="B56" s="279" t="s">
        <v>1478</v>
      </c>
      <c r="C56" s="281">
        <f ca="1">1-C57</f>
        <v>0.879</v>
      </c>
    </row>
    <row r="57" spans="1:7">
      <c r="B57" s="279" t="s">
        <v>1479</v>
      </c>
      <c r="C57" s="280">
        <f ca="1">ROUND(C51/C52,3)</f>
        <v>0.121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4532</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2118</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4065202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4065202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2166</v>
      </c>
      <c r="C10" s="231">
        <f ca="1">ROUND(D10*E10,0)</f>
        <v>4065202</v>
      </c>
      <c r="D10" s="954">
        <f ca="1">IF(B1="",'数据-汇总表'!E6,IF(INDIRECT("'数据-取费表'!c"&amp;$G$1)="住宅",INDIRECT("'数据-取费表'!s"&amp;$G$1),INDIRECT("'数据-取费表'!k"&amp;$G$1)+INDIRECT("'数据-取费表'!s"&amp;$G$1)))</f>
        <v>21395.8</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4279160</v>
      </c>
      <c r="D19" s="958">
        <f ca="1">D9+D10</f>
        <v>21395.8</v>
      </c>
      <c r="E19" s="217">
        <f>'数据-取费表'!B31</f>
        <v>200</v>
      </c>
      <c r="F19" s="237"/>
      <c r="G19" s="2042"/>
    </row>
    <row r="20" spans="1:7" s="220" customFormat="1" ht="13.5" customHeight="1">
      <c r="A20" s="261" t="s">
        <v>2260</v>
      </c>
      <c r="B20" s="216" t="s">
        <v>2261</v>
      </c>
      <c r="C20" s="238">
        <f ca="1">ROUND((C5+C19)*F20,0)</f>
        <v>166887</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366609</v>
      </c>
      <c r="D22" s="241">
        <f ca="1">C26</f>
        <v>4.0000000000000002E-4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176836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186143</v>
      </c>
      <c r="D24" s="244"/>
      <c r="E24" s="244"/>
      <c r="F24" s="245"/>
      <c r="G24" s="246" t="s">
        <v>2272</v>
      </c>
    </row>
    <row r="25" spans="1:7" s="220" customFormat="1" ht="24">
      <c r="A25" s="888" t="s">
        <v>2162</v>
      </c>
      <c r="B25" s="221" t="s">
        <v>2273</v>
      </c>
      <c r="C25" s="1290">
        <f ca="1">ROUND(IF('数据-取费表'!B22&lt;=1,C20*F22*'数据-取费表'!B22/2,C20*(POWER((1+F22),'数据-取费表'!B22/2)-1)),0)</f>
        <v>3630</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425562</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ROUND((C5+C19+C20)*F27,0)</f>
        <v>425562</v>
      </c>
      <c r="D28" s="241"/>
      <c r="E28" s="242"/>
      <c r="F28" s="252"/>
      <c r="G28" s="253"/>
    </row>
    <row r="29" spans="1:7" s="220" customFormat="1" ht="13.5" customHeight="1">
      <c r="A29" s="888" t="s">
        <v>792</v>
      </c>
      <c r="B29" s="254" t="s">
        <v>2203</v>
      </c>
      <c r="C29" s="244">
        <f ca="1">ROUND(C21*F27,4)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10044720</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48996382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42791600</v>
      </c>
      <c r="D34" s="223"/>
      <c r="E34" s="226"/>
      <c r="F34" s="263"/>
      <c r="G34" s="225"/>
    </row>
    <row r="35" spans="1:7" ht="13.5" customHeight="1">
      <c r="A35" s="888" t="s">
        <v>796</v>
      </c>
      <c r="B35" s="221" t="s">
        <v>2213</v>
      </c>
      <c r="C35" s="226">
        <f ca="1">ROUND(C34*F35,0)</f>
        <v>1283748</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4279160</v>
      </c>
      <c r="D37" s="223">
        <f ca="1">D19</f>
        <v>21395.8</v>
      </c>
      <c r="E37" s="255">
        <f>'数据-取费表'!B35</f>
        <v>200</v>
      </c>
      <c r="F37" s="265"/>
      <c r="G37" s="267"/>
    </row>
    <row r="38" spans="1:7" ht="13.5" customHeight="1">
      <c r="A38" s="888" t="s">
        <v>799</v>
      </c>
      <c r="B38" s="221" t="s">
        <v>2219</v>
      </c>
      <c r="C38" s="226">
        <f ca="1">ROUND(C34*F38,0)</f>
        <v>641874</v>
      </c>
      <c r="D38" s="226"/>
      <c r="E38" s="226"/>
      <c r="F38" s="265">
        <f>'数据-取费表'!B36</f>
        <v>1.4999999999999999E-2</v>
      </c>
      <c r="G38" s="225" t="s">
        <v>2214</v>
      </c>
    </row>
    <row r="39" spans="1:7" s="220" customFormat="1" ht="13.5" customHeight="1">
      <c r="A39" s="261" t="s">
        <v>2220</v>
      </c>
      <c r="B39" s="216" t="s">
        <v>2221</v>
      </c>
      <c r="C39" s="238">
        <f ca="1">ROUND(C33*F20,0)</f>
        <v>979928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1086984</v>
      </c>
      <c r="D41" s="241">
        <f ca="1">C44</f>
        <v>4.0000000000000002E-4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1065671</v>
      </c>
      <c r="D42" s="244"/>
      <c r="E42" s="244"/>
      <c r="F42" s="245"/>
      <c r="G42" s="3320" t="s">
        <v>2277</v>
      </c>
    </row>
    <row r="43" spans="1:7" ht="13.5" customHeight="1">
      <c r="A43" s="888" t="s">
        <v>792</v>
      </c>
      <c r="B43" s="221" t="s">
        <v>2231</v>
      </c>
      <c r="C43" s="244">
        <f ca="1">ROUND(IF('数据-取费表'!B22&lt;=1,C39*F22*'数据-取费表'!B20/2,C39*(POWER((1+F22),'数据-取费表'!B20/2)-1)),0)</f>
        <v>21313</v>
      </c>
      <c r="D43" s="244"/>
      <c r="E43" s="244"/>
      <c r="F43" s="245"/>
      <c r="G43" s="3321"/>
    </row>
    <row r="44" spans="1:7" ht="13.5" customHeight="1">
      <c r="A44" s="888" t="s">
        <v>793</v>
      </c>
      <c r="B44" s="221" t="s">
        <v>2232</v>
      </c>
      <c r="C44" s="244">
        <f ca="1">ROUND(IF('数据-取费表'!B22&lt;=1,C40*F22*'数据-取费表'!B20/2,C40*(POWER((1+F22),'数据-取费表'!B20/2)-1)),4)</f>
        <v>4.0000000000000002E-4</v>
      </c>
      <c r="D44" s="244"/>
      <c r="E44" s="244"/>
      <c r="F44" s="245"/>
      <c r="G44" s="3322"/>
    </row>
    <row r="45" spans="1:7" s="220" customFormat="1" ht="13.5" customHeight="1">
      <c r="A45" s="261" t="s">
        <v>2233</v>
      </c>
      <c r="B45" s="250" t="s">
        <v>2199</v>
      </c>
      <c r="C45" s="251">
        <f ca="1">C46</f>
        <v>2498816</v>
      </c>
      <c r="D45" s="241">
        <f ca="1">C47</f>
        <v>1E-3</v>
      </c>
      <c r="E45" s="242" t="s">
        <v>2225</v>
      </c>
      <c r="F45" s="2537">
        <f ca="1">F27</f>
        <v>0.05</v>
      </c>
      <c r="G45" s="253" t="s">
        <v>2234</v>
      </c>
    </row>
    <row r="46" spans="1:7" s="220" customFormat="1" ht="13.5" customHeight="1">
      <c r="A46" s="888" t="s">
        <v>791</v>
      </c>
      <c r="B46" s="254" t="s">
        <v>2235</v>
      </c>
      <c r="C46" s="255">
        <f ca="1">ROUND((C33+C39)*F27,0)</f>
        <v>2498816</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57829961</v>
      </c>
      <c r="D49" s="238"/>
      <c r="E49" s="238"/>
      <c r="F49" s="270"/>
      <c r="G49" s="240" t="s">
        <v>2240</v>
      </c>
    </row>
    <row r="50" spans="1:7" s="264" customFormat="1">
      <c r="A50" s="261" t="s">
        <v>2241</v>
      </c>
      <c r="B50" s="216" t="s">
        <v>2242</v>
      </c>
      <c r="C50" s="238"/>
      <c r="D50" s="238"/>
      <c r="E50" s="238"/>
      <c r="F50" s="270">
        <f>IF('数据-取费表'!B24=0,'数据-取费表'!N16,1)</f>
        <v>0.61</v>
      </c>
      <c r="G50" s="253"/>
    </row>
    <row r="51" spans="1:7" ht="16.5" customHeight="1">
      <c r="A51" s="261" t="s">
        <v>2244</v>
      </c>
      <c r="B51" s="216" t="s">
        <v>2279</v>
      </c>
      <c r="C51" s="238">
        <f ca="1">ROUND(C49*F50,0)</f>
        <v>35276276</v>
      </c>
      <c r="D51" s="238"/>
      <c r="E51" s="238"/>
      <c r="F51" s="270"/>
      <c r="G51" s="240" t="s">
        <v>2246</v>
      </c>
    </row>
    <row r="52" spans="1:7" s="214" customFormat="1" ht="16.5" thickBot="1">
      <c r="A52" s="271" t="s">
        <v>2247</v>
      </c>
      <c r="B52" s="272"/>
      <c r="C52" s="273">
        <f ca="1">C31+C51</f>
        <v>45320996</v>
      </c>
      <c r="D52" s="272"/>
      <c r="E52" s="272"/>
      <c r="F52" s="272"/>
      <c r="G52" s="274"/>
    </row>
    <row r="55" spans="1:7" ht="15">
      <c r="B55" s="276" t="s">
        <v>2248</v>
      </c>
      <c r="C55" s="277"/>
    </row>
    <row r="56" spans="1:7">
      <c r="B56" s="279" t="s">
        <v>1478</v>
      </c>
      <c r="C56" s="281">
        <f ca="1">1-C57</f>
        <v>0.22199999999999998</v>
      </c>
    </row>
    <row r="57" spans="1:7">
      <c r="B57" s="279" t="s">
        <v>1479</v>
      </c>
      <c r="C57" s="280">
        <f ca="1">ROUND(C51/C52,3)</f>
        <v>0.77800000000000002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21395.8</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21395.8</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150</v>
      </c>
      <c r="F19" s="913"/>
      <c r="G19" s="15"/>
      <c r="H19" s="1351"/>
      <c r="I19" s="918"/>
      <c r="J19" s="918"/>
      <c r="K19" s="919"/>
    </row>
    <row r="20" spans="1:33" s="912" customFormat="1" ht="13.5" customHeight="1">
      <c r="A20" s="908" t="s">
        <v>806</v>
      </c>
      <c r="B20" s="909" t="s">
        <v>2316</v>
      </c>
      <c r="C20" s="24">
        <f ca="1">ROUND(D20*E20/10000,0)</f>
        <v>407</v>
      </c>
      <c r="D20" s="955">
        <f ca="1">IF(C1="",'数据-汇总表'!E6,IF(INDIRECT("'数据-取费表'!c"&amp;$K$1)="住宅",INDIRECT("'数据-取费表'!s"&amp;$K$1),INDIRECT("'数据-取费表'!k"&amp;$K$1)+INDIRECT("'数据-取费表'!s"&amp;$K$1)))</f>
        <v>21395.8</v>
      </c>
      <c r="E20" s="24">
        <f>'数据-取费表'!B28</f>
        <v>190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17" t="s">
        <v>1368</v>
      </c>
      <c r="C6" s="1206">
        <f ca="1">ROUND(F6*F8*F7*(1-F9),0)</f>
        <v>0</v>
      </c>
      <c r="D6" s="160" t="s">
        <v>2847</v>
      </c>
      <c r="E6" s="308" t="s">
        <v>1370</v>
      </c>
      <c r="F6" s="309">
        <f ca="1">INDIRECT("'数据-取费表'!u"&amp;$G$1)</f>
        <v>0</v>
      </c>
      <c r="G6" s="1568"/>
      <c r="H6" s="1201" t="s">
        <v>1003</v>
      </c>
      <c r="I6" s="3317" t="s">
        <v>1368</v>
      </c>
      <c r="J6" s="307">
        <f ca="1">ROUND(M6*M8*M7*(1-M9),0)</f>
        <v>0</v>
      </c>
      <c r="K6" s="1560" t="s">
        <v>2848</v>
      </c>
      <c r="L6" s="308" t="s">
        <v>1370</v>
      </c>
      <c r="M6" s="309">
        <f ca="1">INDIRECT("'数据-取费表'!z"&amp;$G$1)</f>
        <v>0</v>
      </c>
    </row>
    <row r="7" spans="1:37" ht="18" customHeight="1">
      <c r="A7" s="1205"/>
      <c r="B7" s="3318"/>
      <c r="C7" s="1207"/>
      <c r="D7" s="313"/>
      <c r="E7" s="1208" t="s">
        <v>1371</v>
      </c>
      <c r="F7" s="309">
        <f ca="1">IF(INDIRECT("'数据-取费表'!ah"&amp;$G$1)="",INDIRECT("'数据-取费表'!k"&amp;$G$1),INDIRECT("'数据-取费表'!ah"&amp;$G$1))</f>
        <v>0</v>
      </c>
      <c r="G7" s="1568"/>
      <c r="H7" s="310"/>
      <c r="I7" s="3318"/>
      <c r="J7" s="312"/>
      <c r="K7" s="313"/>
      <c r="L7" s="308" t="s">
        <v>1371</v>
      </c>
      <c r="M7" s="309">
        <f ca="1">F7</f>
        <v>0</v>
      </c>
    </row>
    <row r="8" spans="1:37" ht="18" customHeight="1">
      <c r="A8" s="310"/>
      <c r="B8" s="3318"/>
      <c r="C8" s="312"/>
      <c r="D8" s="313"/>
      <c r="E8" s="308" t="s">
        <v>1372</v>
      </c>
      <c r="F8" s="309">
        <f ca="1">INDIRECT("'数据-取费表'!ai"&amp;$G$1)</f>
        <v>0</v>
      </c>
      <c r="G8" s="1568"/>
      <c r="H8" s="310"/>
      <c r="I8" s="3318"/>
      <c r="J8" s="312"/>
      <c r="K8" s="313"/>
      <c r="L8" s="308" t="s">
        <v>1372</v>
      </c>
      <c r="M8" s="309">
        <f ca="1">INDIRECT("'数据-取费表'!ai"&amp;$G$1)</f>
        <v>0</v>
      </c>
    </row>
    <row r="9" spans="1:37" ht="18" customHeight="1">
      <c r="A9" s="310"/>
      <c r="B9" s="3319"/>
      <c r="C9" s="312"/>
      <c r="D9" s="313"/>
      <c r="E9" s="308" t="s">
        <v>1373</v>
      </c>
      <c r="F9" s="318">
        <f ca="1">INDIRECT("'数据-取费表'!w"&amp;$G$1)</f>
        <v>0</v>
      </c>
      <c r="G9" s="1568"/>
      <c r="H9" s="310"/>
      <c r="I9" s="331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315" t="s">
        <v>1513</v>
      </c>
      <c r="L53" s="331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25840</v>
      </c>
      <c r="C2" s="2058" t="s">
        <v>2340</v>
      </c>
      <c r="D2" s="2059" t="s">
        <v>2341</v>
      </c>
      <c r="E2" s="2833">
        <f>SUM(E6:E13)</f>
        <v>21395.8</v>
      </c>
      <c r="F2" s="2936"/>
      <c r="G2" s="1674"/>
      <c r="H2" s="1674"/>
      <c r="I2" s="1674"/>
      <c r="J2" s="1674"/>
      <c r="K2" s="1674"/>
      <c r="L2" s="1674"/>
      <c r="M2" s="1674"/>
      <c r="N2" s="1674"/>
      <c r="O2" s="1674"/>
      <c r="P2" s="1674"/>
      <c r="Q2" s="1674"/>
      <c r="R2" s="1674"/>
      <c r="S2" s="1674"/>
    </row>
    <row r="3" spans="1:22" ht="15.75">
      <c r="A3" s="2056" t="s">
        <v>1360</v>
      </c>
      <c r="B3" s="2827">
        <f ca="1">ROUND(B2*10000/E2,0)</f>
        <v>12077</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323" t="s">
        <v>2343</v>
      </c>
      <c r="C5" s="3324"/>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25840</v>
      </c>
      <c r="C6" s="2058" t="s">
        <v>2340</v>
      </c>
      <c r="D6" s="2938"/>
      <c r="E6" s="2832">
        <f>IF(OR(A6=0,F6="否"),0,'数据-取费表'!K6+'数据-取费表'!S6)</f>
        <v>21395.8</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5" t="s">
        <v>1044</v>
      </c>
      <c r="B1" s="3326"/>
      <c r="C1" s="3327"/>
      <c r="D1" s="3328">
        <f>SUM(I10,I15,I20,I21,I23)</f>
        <v>0</v>
      </c>
      <c r="E1" s="3328"/>
      <c r="F1" s="3328"/>
      <c r="G1" s="3328"/>
      <c r="H1" s="3328"/>
      <c r="I1" s="3329"/>
    </row>
    <row r="2" spans="1:9">
      <c r="A2" s="3330" t="s">
        <v>1045</v>
      </c>
      <c r="B2" s="3331" t="s">
        <v>1046</v>
      </c>
      <c r="C2" s="3331"/>
      <c r="D2" s="1211" t="s">
        <v>1047</v>
      </c>
      <c r="E2" s="1211" t="s">
        <v>1048</v>
      </c>
      <c r="F2" s="1211" t="s">
        <v>1049</v>
      </c>
      <c r="G2" s="1211" t="s">
        <v>1050</v>
      </c>
      <c r="H2" s="1211" t="s">
        <v>1051</v>
      </c>
      <c r="I2" s="1212" t="s">
        <v>1052</v>
      </c>
    </row>
    <row r="3" spans="1:9">
      <c r="A3" s="3330"/>
      <c r="B3" s="3331" t="s">
        <v>1053</v>
      </c>
      <c r="C3" s="3331"/>
      <c r="D3" s="1213"/>
      <c r="E3" s="1211"/>
      <c r="F3" s="1214"/>
      <c r="G3" s="1214"/>
      <c r="H3" s="1215"/>
      <c r="I3" s="1216">
        <f>ROUND(D3*E3*F3*G3*H3/10000,0)</f>
        <v>0</v>
      </c>
    </row>
    <row r="4" spans="1:9">
      <c r="A4" s="3330"/>
      <c r="B4" s="3331" t="s">
        <v>1054</v>
      </c>
      <c r="C4" s="3331"/>
      <c r="D4" s="1213"/>
      <c r="E4" s="1211"/>
      <c r="F4" s="1214"/>
      <c r="G4" s="1214"/>
      <c r="H4" s="1215"/>
      <c r="I4" s="1216">
        <f t="shared" ref="I4:I9" si="0">ROUND(D4*E4*F4*G4*H4/10000,0)</f>
        <v>0</v>
      </c>
    </row>
    <row r="5" spans="1:9">
      <c r="A5" s="3330"/>
      <c r="B5" s="3331" t="s">
        <v>1055</v>
      </c>
      <c r="C5" s="3331"/>
      <c r="D5" s="1213"/>
      <c r="E5" s="1211"/>
      <c r="F5" s="1214"/>
      <c r="G5" s="1214"/>
      <c r="H5" s="1215"/>
      <c r="I5" s="1216">
        <f t="shared" si="0"/>
        <v>0</v>
      </c>
    </row>
    <row r="6" spans="1:9">
      <c r="A6" s="3330"/>
      <c r="B6" s="3331" t="s">
        <v>1056</v>
      </c>
      <c r="C6" s="3331"/>
      <c r="D6" s="1213"/>
      <c r="E6" s="1211"/>
      <c r="F6" s="1214"/>
      <c r="G6" s="1214"/>
      <c r="H6" s="1215"/>
      <c r="I6" s="1216">
        <f t="shared" si="0"/>
        <v>0</v>
      </c>
    </row>
    <row r="7" spans="1:9">
      <c r="A7" s="3330"/>
      <c r="B7" s="3331" t="s">
        <v>1057</v>
      </c>
      <c r="C7" s="3331"/>
      <c r="D7" s="1213"/>
      <c r="E7" s="1211"/>
      <c r="F7" s="1214"/>
      <c r="G7" s="1214"/>
      <c r="H7" s="1215"/>
      <c r="I7" s="1216">
        <f t="shared" si="0"/>
        <v>0</v>
      </c>
    </row>
    <row r="8" spans="1:9">
      <c r="A8" s="3330"/>
      <c r="B8" s="3331" t="s">
        <v>1058</v>
      </c>
      <c r="C8" s="3331"/>
      <c r="D8" s="1213"/>
      <c r="E8" s="1211"/>
      <c r="F8" s="1214"/>
      <c r="G8" s="1214"/>
      <c r="H8" s="1215"/>
      <c r="I8" s="1216">
        <f t="shared" si="0"/>
        <v>0</v>
      </c>
    </row>
    <row r="9" spans="1:9">
      <c r="A9" s="3330"/>
      <c r="B9" s="3331" t="s">
        <v>1059</v>
      </c>
      <c r="C9" s="3331"/>
      <c r="D9" s="1213"/>
      <c r="E9" s="1211"/>
      <c r="F9" s="1214"/>
      <c r="G9" s="1214"/>
      <c r="H9" s="1215"/>
      <c r="I9" s="1216">
        <f t="shared" si="0"/>
        <v>0</v>
      </c>
    </row>
    <row r="10" spans="1:9">
      <c r="A10" s="3330"/>
      <c r="B10" s="3332" t="s">
        <v>1060</v>
      </c>
      <c r="C10" s="3332"/>
      <c r="D10" s="1217"/>
      <c r="E10" s="1217" t="e">
        <f>ROUND(D1*10000/D10/H9,0)</f>
        <v>#DIV/0!</v>
      </c>
      <c r="F10" s="1218"/>
      <c r="G10" s="1218"/>
      <c r="H10" s="1219"/>
      <c r="I10" s="1220">
        <f>SUM(I3:I9)</f>
        <v>0</v>
      </c>
    </row>
    <row r="11" spans="1:9" ht="14.25">
      <c r="A11" s="3330" t="s">
        <v>1061</v>
      </c>
      <c r="B11" s="3331" t="s">
        <v>1062</v>
      </c>
      <c r="C11" s="3331"/>
      <c r="D11" s="1213" t="s">
        <v>1063</v>
      </c>
      <c r="E11" s="1213" t="s">
        <v>1064</v>
      </c>
      <c r="F11" s="1214" t="s">
        <v>1065</v>
      </c>
      <c r="G11" s="1214" t="s">
        <v>1051</v>
      </c>
      <c r="H11" s="1221" t="s">
        <v>1066</v>
      </c>
      <c r="I11" s="1212" t="s">
        <v>1052</v>
      </c>
    </row>
    <row r="12" spans="1:9">
      <c r="A12" s="3330"/>
      <c r="B12" s="3331" t="s">
        <v>1067</v>
      </c>
      <c r="C12" s="3331"/>
      <c r="D12" s="1213"/>
      <c r="E12" s="1213"/>
      <c r="F12" s="1214"/>
      <c r="G12" s="1215"/>
      <c r="H12" s="1222"/>
      <c r="I12" s="1212">
        <f>ROUND(D12*E12*F12*G12/10000,0)</f>
        <v>0</v>
      </c>
    </row>
    <row r="13" spans="1:9">
      <c r="A13" s="3330"/>
      <c r="B13" s="3331" t="s">
        <v>1068</v>
      </c>
      <c r="C13" s="3331"/>
      <c r="D13" s="1213"/>
      <c r="E13" s="1213"/>
      <c r="F13" s="1214"/>
      <c r="G13" s="1215"/>
      <c r="H13" s="1222"/>
      <c r="I13" s="1212">
        <f>ROUND(D13*E13*F13*G13/10000,0)</f>
        <v>0</v>
      </c>
    </row>
    <row r="14" spans="1:9">
      <c r="A14" s="3330"/>
      <c r="B14" s="3331" t="s">
        <v>1069</v>
      </c>
      <c r="C14" s="3331"/>
      <c r="D14" s="1213"/>
      <c r="E14" s="1213"/>
      <c r="F14" s="1214"/>
      <c r="G14" s="1215"/>
      <c r="H14" s="1222"/>
      <c r="I14" s="1212">
        <f>ROUND(D14*E14*F14*G14/10000,0)</f>
        <v>0</v>
      </c>
    </row>
    <row r="15" spans="1:9">
      <c r="A15" s="3330"/>
      <c r="B15" s="3332" t="s">
        <v>1060</v>
      </c>
      <c r="C15" s="3332"/>
      <c r="D15" s="1217"/>
      <c r="E15" s="1217">
        <f>SUM(E12:E14)</f>
        <v>0</v>
      </c>
      <c r="F15" s="1218"/>
      <c r="G15" s="1215"/>
      <c r="H15" s="1222"/>
      <c r="I15" s="1223">
        <f>SUM(I12:I14)</f>
        <v>0</v>
      </c>
    </row>
    <row r="16" spans="1:9" ht="24">
      <c r="A16" s="3330" t="s">
        <v>1070</v>
      </c>
      <c r="B16" s="3331" t="s">
        <v>1071</v>
      </c>
      <c r="C16" s="3331"/>
      <c r="D16" s="1213" t="s">
        <v>1047</v>
      </c>
      <c r="E16" s="1224" t="s">
        <v>1072</v>
      </c>
      <c r="F16" s="1214" t="s">
        <v>1073</v>
      </c>
      <c r="G16" s="1215" t="s">
        <v>1051</v>
      </c>
      <c r="H16" s="1221" t="s">
        <v>1066</v>
      </c>
      <c r="I16" s="1212" t="s">
        <v>1052</v>
      </c>
    </row>
    <row r="17" spans="1:9" ht="14.25">
      <c r="A17" s="3330"/>
      <c r="B17" s="3331" t="s">
        <v>1074</v>
      </c>
      <c r="C17" s="3331"/>
      <c r="D17" s="1213"/>
      <c r="E17" s="1213"/>
      <c r="F17" s="1214"/>
      <c r="G17" s="1215"/>
      <c r="H17" s="1225"/>
      <c r="I17" s="1226">
        <f>ROUND(D17*E17*F17*G17/10000,0)</f>
        <v>0</v>
      </c>
    </row>
    <row r="18" spans="1:9" ht="14.25">
      <c r="A18" s="3330"/>
      <c r="B18" s="3331" t="s">
        <v>1075</v>
      </c>
      <c r="C18" s="3331"/>
      <c r="D18" s="1213"/>
      <c r="E18" s="1213"/>
      <c r="F18" s="1214"/>
      <c r="G18" s="1215"/>
      <c r="H18" s="1225"/>
      <c r="I18" s="1226">
        <f>ROUND(D18*E18*F18*G18/10000,0)</f>
        <v>0</v>
      </c>
    </row>
    <row r="19" spans="1:9" ht="14.25">
      <c r="A19" s="3330"/>
      <c r="B19" s="3331" t="s">
        <v>1076</v>
      </c>
      <c r="C19" s="3331"/>
      <c r="D19" s="1213"/>
      <c r="E19" s="1213"/>
      <c r="F19" s="1214"/>
      <c r="G19" s="1215"/>
      <c r="H19" s="1225"/>
      <c r="I19" s="1226">
        <f>ROUND(D19*E19*F19*G19/10000,0)</f>
        <v>0</v>
      </c>
    </row>
    <row r="20" spans="1:9">
      <c r="A20" s="3330"/>
      <c r="B20" s="3332" t="s">
        <v>1060</v>
      </c>
      <c r="C20" s="3332"/>
      <c r="D20" s="1217">
        <f>SUM(D17:D19)</f>
        <v>0</v>
      </c>
      <c r="E20" s="1217"/>
      <c r="F20" s="1218"/>
      <c r="G20" s="1215"/>
      <c r="H20" s="1222"/>
      <c r="I20" s="1223">
        <f>SUM(I17:I19)</f>
        <v>0</v>
      </c>
    </row>
    <row r="21" spans="1:9">
      <c r="A21" s="3330" t="s">
        <v>1077</v>
      </c>
      <c r="B21" s="3334"/>
      <c r="C21" s="3334"/>
      <c r="D21" s="3334"/>
      <c r="E21" s="3334"/>
      <c r="F21" s="3334"/>
      <c r="G21" s="3334"/>
      <c r="H21" s="1502">
        <v>0.1</v>
      </c>
      <c r="I21" s="1220">
        <f>ROUND(I10*H21,0)</f>
        <v>0</v>
      </c>
    </row>
    <row r="22" spans="1:9" ht="14.25">
      <c r="A22" s="3335" t="s">
        <v>1078</v>
      </c>
      <c r="B22" s="3336"/>
      <c r="C22" s="3337"/>
      <c r="D22" s="1227" t="s">
        <v>1079</v>
      </c>
      <c r="E22" s="1227" t="s">
        <v>1080</v>
      </c>
      <c r="F22" s="1228" t="s">
        <v>1081</v>
      </c>
      <c r="G22" s="1228" t="s">
        <v>1082</v>
      </c>
      <c r="H22" s="1221" t="s">
        <v>1083</v>
      </c>
      <c r="I22" s="1212" t="s">
        <v>1084</v>
      </c>
    </row>
    <row r="23" spans="1:9" ht="14.25" thickBot="1">
      <c r="A23" s="3338"/>
      <c r="B23" s="3339"/>
      <c r="C23" s="3340"/>
      <c r="D23" s="1229"/>
      <c r="E23" s="1229"/>
      <c r="F23" s="1229"/>
      <c r="G23" s="1230"/>
      <c r="H23" s="1231"/>
      <c r="I23" s="1232">
        <f>ROUND(E23*D23*F23*(1-G23)/10000,0)</f>
        <v>0</v>
      </c>
    </row>
    <row r="26" spans="1:9">
      <c r="A26" s="1233" t="s">
        <v>1085</v>
      </c>
      <c r="B26" s="1233"/>
      <c r="C26" s="1233"/>
      <c r="D26" s="1233"/>
      <c r="E26" s="3341">
        <f>C27-C30-C31-C32</f>
        <v>0</v>
      </c>
      <c r="F26" s="3341"/>
      <c r="G26" s="3341"/>
      <c r="H26" s="1499" t="s">
        <v>1306</v>
      </c>
    </row>
    <row r="27" spans="1:9">
      <c r="A27" s="1234">
        <v>1</v>
      </c>
      <c r="B27" s="1235" t="s">
        <v>1086</v>
      </c>
      <c r="C27" s="1235">
        <f>C28+C29</f>
        <v>0</v>
      </c>
      <c r="D27" s="1235"/>
      <c r="E27" s="3342"/>
      <c r="F27" s="3342"/>
      <c r="G27" s="3342"/>
    </row>
    <row r="28" spans="1:9">
      <c r="A28" s="1236" t="s">
        <v>1087</v>
      </c>
      <c r="B28" s="1235" t="s">
        <v>1088</v>
      </c>
      <c r="C28" s="1235"/>
      <c r="D28" s="1235"/>
      <c r="E28" s="3342"/>
      <c r="F28" s="3342"/>
      <c r="G28" s="334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3"/>
      <c r="F32" s="3333"/>
      <c r="G32" s="3333"/>
    </row>
    <row r="33" spans="1:7" hidden="1">
      <c r="A33" s="3343" t="s">
        <v>1097</v>
      </c>
      <c r="B33" s="3344"/>
      <c r="C33" s="3344"/>
      <c r="D33" s="3345"/>
      <c r="E33" s="3341"/>
      <c r="F33" s="3341"/>
      <c r="G33" s="3341"/>
    </row>
    <row r="34" spans="1:7" hidden="1">
      <c r="A34" s="1238">
        <v>1</v>
      </c>
      <c r="B34" s="1235" t="s">
        <v>1098</v>
      </c>
      <c r="C34" s="1235"/>
      <c r="D34" s="1235"/>
      <c r="E34" s="3342"/>
      <c r="F34" s="3342"/>
      <c r="G34" s="3342"/>
    </row>
    <row r="35" spans="1:7" hidden="1">
      <c r="A35" s="1238">
        <v>2</v>
      </c>
      <c r="B35" s="1235" t="s">
        <v>1099</v>
      </c>
      <c r="C35" s="1235"/>
      <c r="D35" s="1235"/>
      <c r="E35" s="3342"/>
      <c r="F35" s="3342"/>
      <c r="G35" s="3342"/>
    </row>
    <row r="36" spans="1:7" hidden="1">
      <c r="A36" s="1238">
        <v>3</v>
      </c>
      <c r="B36" s="1235" t="s">
        <v>1100</v>
      </c>
      <c r="C36" s="1235"/>
      <c r="D36" s="1235"/>
      <c r="E36" s="3342"/>
      <c r="F36" s="3342"/>
      <c r="G36" s="3342"/>
    </row>
    <row r="37" spans="1:7" hidden="1">
      <c r="A37" s="1238">
        <v>4</v>
      </c>
      <c r="B37" s="1235" t="s">
        <v>1101</v>
      </c>
      <c r="C37" s="1235"/>
      <c r="D37" s="1235"/>
      <c r="E37" s="3342"/>
      <c r="F37" s="3342"/>
      <c r="G37" s="3342"/>
    </row>
    <row r="38" spans="1:7" hidden="1">
      <c r="A38" s="3343" t="s">
        <v>1102</v>
      </c>
      <c r="B38" s="3344"/>
      <c r="C38" s="3344"/>
      <c r="D38" s="3345"/>
      <c r="E38" s="3341"/>
      <c r="F38" s="3341"/>
      <c r="G38" s="33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21395.8</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91" t="s">
        <v>2357</v>
      </c>
      <c r="D4" s="3292"/>
      <c r="E4" s="3293" t="s">
        <v>2358</v>
      </c>
      <c r="F4" s="3294"/>
      <c r="G4" s="3291" t="s">
        <v>2359</v>
      </c>
      <c r="H4" s="3292"/>
      <c r="I4" s="3291" t="s">
        <v>2360</v>
      </c>
      <c r="J4" s="3292"/>
      <c r="K4" s="2075" t="s">
        <v>2361</v>
      </c>
      <c r="L4" s="2944"/>
      <c r="M4" s="2945"/>
      <c r="N4" s="2945"/>
      <c r="O4" s="2945"/>
      <c r="P4" s="3295" t="s">
        <v>2362</v>
      </c>
      <c r="Q4" s="3296"/>
      <c r="R4" s="3278" t="s">
        <v>2358</v>
      </c>
      <c r="S4" s="3279"/>
      <c r="T4" s="3278" t="s">
        <v>2359</v>
      </c>
      <c r="U4" s="3279"/>
      <c r="V4" s="3303" t="s">
        <v>2360</v>
      </c>
      <c r="W4" s="3303"/>
      <c r="X4" s="1539"/>
      <c r="Y4" s="3278" t="s">
        <v>2362</v>
      </c>
      <c r="Z4" s="3279"/>
      <c r="AA4" s="3273" t="s">
        <v>2358</v>
      </c>
      <c r="AB4" s="3273" t="s">
        <v>2359</v>
      </c>
      <c r="AC4" s="3273" t="s">
        <v>2360</v>
      </c>
    </row>
    <row r="5" spans="1:29" ht="15">
      <c r="A5" s="364"/>
      <c r="B5" s="365"/>
      <c r="C5" s="3284" t="s">
        <v>2363</v>
      </c>
      <c r="D5" s="3285"/>
      <c r="E5" s="3282" t="s">
        <v>2364</v>
      </c>
      <c r="F5" s="3283"/>
      <c r="G5" s="3284" t="s">
        <v>2365</v>
      </c>
      <c r="H5" s="3285"/>
      <c r="I5" s="3284" t="s">
        <v>2366</v>
      </c>
      <c r="J5" s="3285"/>
      <c r="K5" s="2076"/>
      <c r="L5" s="2944"/>
      <c r="M5" s="2945"/>
      <c r="N5" s="2945"/>
      <c r="O5" s="2945"/>
      <c r="P5" s="3297"/>
      <c r="Q5" s="3298"/>
      <c r="R5" s="3280"/>
      <c r="S5" s="3281"/>
      <c r="T5" s="3280"/>
      <c r="U5" s="3281"/>
      <c r="V5" s="3303"/>
      <c r="W5" s="3303"/>
      <c r="X5" s="1539"/>
      <c r="Y5" s="3280"/>
      <c r="Z5" s="3281"/>
      <c r="AA5" s="3274"/>
      <c r="AB5" s="3274"/>
      <c r="AC5" s="3274"/>
    </row>
    <row r="6" spans="1:29" ht="15.75" thickBot="1">
      <c r="A6" s="366"/>
      <c r="B6" s="367"/>
      <c r="C6" s="3286" t="s">
        <v>2367</v>
      </c>
      <c r="D6" s="3287"/>
      <c r="E6" s="3288" t="s">
        <v>2367</v>
      </c>
      <c r="F6" s="3289"/>
      <c r="G6" s="3286" t="s">
        <v>2367</v>
      </c>
      <c r="H6" s="3287"/>
      <c r="I6" s="3286" t="s">
        <v>2367</v>
      </c>
      <c r="J6" s="3287"/>
      <c r="K6" s="2076" t="s">
        <v>2368</v>
      </c>
      <c r="L6" s="2944"/>
      <c r="M6" s="2945"/>
      <c r="N6" s="2945"/>
      <c r="O6" s="2945"/>
      <c r="P6" s="3299"/>
      <c r="Q6" s="3300"/>
      <c r="R6" s="3280"/>
      <c r="S6" s="3281"/>
      <c r="T6" s="3301"/>
      <c r="U6" s="3302"/>
      <c r="V6" s="3303"/>
      <c r="W6" s="3303"/>
      <c r="X6" s="1539"/>
      <c r="Y6" s="3301"/>
      <c r="Z6" s="3302"/>
      <c r="AA6" s="3275"/>
      <c r="AB6" s="3275"/>
      <c r="AC6" s="3275"/>
    </row>
    <row r="7" spans="1:29" s="113" customFormat="1" ht="15.75" thickBot="1">
      <c r="A7" s="368" t="s">
        <v>2369</v>
      </c>
      <c r="B7" s="369"/>
      <c r="C7" s="370">
        <f>'数据-取费表'!B2</f>
        <v>44512</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76" t="s">
        <v>2370</v>
      </c>
      <c r="Q7" s="3304"/>
      <c r="R7" s="710" t="s">
        <v>23</v>
      </c>
      <c r="S7" s="711">
        <f t="shared" ref="S7:S15" si="0">F7</f>
        <v>0</v>
      </c>
      <c r="T7" s="710" t="s">
        <v>23</v>
      </c>
      <c r="U7" s="711">
        <f t="shared" ref="U7:U15" si="1">H7</f>
        <v>0</v>
      </c>
      <c r="V7" s="710" t="s">
        <v>23</v>
      </c>
      <c r="W7" s="711">
        <f t="shared" ref="W7:W15" si="2">J7</f>
        <v>0</v>
      </c>
      <c r="X7" s="712"/>
      <c r="Y7" s="3276" t="s">
        <v>2370</v>
      </c>
      <c r="Z7" s="327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76" t="s">
        <v>2373</v>
      </c>
      <c r="Q8" s="3277"/>
      <c r="R8" s="710" t="s">
        <v>23</v>
      </c>
      <c r="S8" s="711">
        <f t="shared" si="0"/>
        <v>0</v>
      </c>
      <c r="T8" s="710" t="s">
        <v>23</v>
      </c>
      <c r="U8" s="711">
        <f t="shared" si="1"/>
        <v>0</v>
      </c>
      <c r="V8" s="710" t="s">
        <v>23</v>
      </c>
      <c r="W8" s="711">
        <f t="shared" si="2"/>
        <v>0</v>
      </c>
      <c r="X8" s="712"/>
      <c r="Y8" s="3276" t="s">
        <v>2373</v>
      </c>
      <c r="Z8" s="327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46"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46"/>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46"/>
      <c r="Q11" s="1527" t="str">
        <f t="shared" si="6"/>
        <v>容积率</v>
      </c>
      <c r="R11" s="710" t="s">
        <v>21</v>
      </c>
      <c r="S11" s="711" t="e">
        <f t="shared" si="0"/>
        <v>#N/A</v>
      </c>
      <c r="T11" s="710" t="s">
        <v>21</v>
      </c>
      <c r="U11" s="711" t="e">
        <f t="shared" si="1"/>
        <v>#N/A</v>
      </c>
      <c r="V11" s="710" t="s">
        <v>21</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46"/>
      <c r="Q12" s="1527">
        <f t="shared" si="6"/>
        <v>111</v>
      </c>
      <c r="R12" s="710" t="s">
        <v>21</v>
      </c>
      <c r="S12" s="711">
        <f t="shared" si="0"/>
        <v>100</v>
      </c>
      <c r="T12" s="710" t="s">
        <v>21</v>
      </c>
      <c r="U12" s="711">
        <f t="shared" si="1"/>
        <v>100</v>
      </c>
      <c r="V12" s="710" t="s">
        <v>21</v>
      </c>
      <c r="W12" s="711">
        <f t="shared" si="2"/>
        <v>100</v>
      </c>
      <c r="X12" s="712"/>
      <c r="Y12" s="324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46"/>
      <c r="Q13" s="1527">
        <f t="shared" si="6"/>
        <v>111</v>
      </c>
      <c r="R13" s="710" t="s">
        <v>21</v>
      </c>
      <c r="S13" s="711">
        <f t="shared" si="0"/>
        <v>100</v>
      </c>
      <c r="T13" s="710" t="s">
        <v>21</v>
      </c>
      <c r="U13" s="711">
        <f t="shared" si="1"/>
        <v>100</v>
      </c>
      <c r="V13" s="710" t="s">
        <v>21</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46"/>
      <c r="Q14" s="1527">
        <f t="shared" si="6"/>
        <v>111</v>
      </c>
      <c r="R14" s="710" t="s">
        <v>21</v>
      </c>
      <c r="S14" s="711">
        <f t="shared" si="0"/>
        <v>100</v>
      </c>
      <c r="T14" s="710" t="s">
        <v>21</v>
      </c>
      <c r="U14" s="711">
        <f t="shared" si="1"/>
        <v>100</v>
      </c>
      <c r="V14" s="710" t="s">
        <v>21</v>
      </c>
      <c r="W14" s="711">
        <f t="shared" si="2"/>
        <v>100</v>
      </c>
      <c r="X14" s="712"/>
      <c r="Y14" s="3249"/>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50" t="s">
        <v>2381</v>
      </c>
      <c r="Q15" s="1536" t="str">
        <f t="shared" si="6"/>
        <v>居住社区成熟度</v>
      </c>
      <c r="R15" s="714" t="s">
        <v>21</v>
      </c>
      <c r="S15" s="715">
        <f t="shared" si="0"/>
        <v>100</v>
      </c>
      <c r="T15" s="714" t="s">
        <v>21</v>
      </c>
      <c r="U15" s="715">
        <f t="shared" si="1"/>
        <v>100</v>
      </c>
      <c r="V15" s="714" t="s">
        <v>21</v>
      </c>
      <c r="W15" s="715">
        <f t="shared" si="2"/>
        <v>100</v>
      </c>
      <c r="X15" s="1539"/>
      <c r="Y15" s="3305"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51"/>
      <c r="Q16" s="1536"/>
      <c r="R16" s="714"/>
      <c r="S16" s="715"/>
      <c r="T16" s="714"/>
      <c r="U16" s="715"/>
      <c r="V16" s="714"/>
      <c r="W16" s="715"/>
      <c r="X16" s="1539"/>
      <c r="Y16" s="330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51"/>
      <c r="Q17" s="1536" t="str">
        <f>B17</f>
        <v>交通便捷度</v>
      </c>
      <c r="R17" s="714" t="s">
        <v>21</v>
      </c>
      <c r="S17" s="715">
        <f>F17</f>
        <v>100</v>
      </c>
      <c r="T17" s="714" t="s">
        <v>21</v>
      </c>
      <c r="U17" s="715">
        <f>H17</f>
        <v>100</v>
      </c>
      <c r="V17" s="714" t="s">
        <v>21</v>
      </c>
      <c r="W17" s="715">
        <f>J17</f>
        <v>100</v>
      </c>
      <c r="X17" s="1539"/>
      <c r="Y17" s="330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51"/>
      <c r="Q18" s="1536"/>
      <c r="R18" s="714"/>
      <c r="S18" s="715"/>
      <c r="T18" s="714"/>
      <c r="U18" s="715"/>
      <c r="V18" s="714"/>
      <c r="W18" s="715"/>
      <c r="X18" s="1539"/>
      <c r="Y18" s="330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51"/>
      <c r="Q19" s="1536" t="str">
        <f>B19</f>
        <v>公共配套设施</v>
      </c>
      <c r="R19" s="714" t="s">
        <v>21</v>
      </c>
      <c r="S19" s="715">
        <f>F19</f>
        <v>100</v>
      </c>
      <c r="T19" s="714" t="s">
        <v>21</v>
      </c>
      <c r="U19" s="715">
        <f>H19</f>
        <v>100</v>
      </c>
      <c r="V19" s="714" t="s">
        <v>21</v>
      </c>
      <c r="W19" s="715">
        <f>J19</f>
        <v>100</v>
      </c>
      <c r="X19" s="1539"/>
      <c r="Y19" s="330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51"/>
      <c r="Q20" s="1536"/>
      <c r="R20" s="714"/>
      <c r="S20" s="715"/>
      <c r="T20" s="714"/>
      <c r="U20" s="715"/>
      <c r="V20" s="714"/>
      <c r="W20" s="715"/>
      <c r="X20" s="1539"/>
      <c r="Y20" s="3306"/>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51"/>
      <c r="Q21" s="1536" t="str">
        <f>B21</f>
        <v>基础设施水平</v>
      </c>
      <c r="R21" s="714" t="s">
        <v>17</v>
      </c>
      <c r="S21" s="715">
        <f>F21</f>
        <v>100</v>
      </c>
      <c r="T21" s="714" t="s">
        <v>17</v>
      </c>
      <c r="U21" s="715">
        <f>H21</f>
        <v>100</v>
      </c>
      <c r="V21" s="714" t="s">
        <v>17</v>
      </c>
      <c r="W21" s="715">
        <f>J21</f>
        <v>100</v>
      </c>
      <c r="X21" s="1539"/>
      <c r="Y21" s="33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51"/>
      <c r="Q22" s="1536"/>
      <c r="R22" s="714"/>
      <c r="S22" s="715"/>
      <c r="T22" s="714"/>
      <c r="U22" s="715"/>
      <c r="V22" s="714"/>
      <c r="W22" s="715"/>
      <c r="X22" s="1539"/>
      <c r="Y22" s="3306"/>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51"/>
      <c r="Q23" s="1536" t="str">
        <f>B23</f>
        <v>自然及人文环境</v>
      </c>
      <c r="R23" s="714" t="s">
        <v>21</v>
      </c>
      <c r="S23" s="715">
        <f>F23</f>
        <v>100</v>
      </c>
      <c r="T23" s="714" t="s">
        <v>21</v>
      </c>
      <c r="U23" s="715">
        <f>H23</f>
        <v>100</v>
      </c>
      <c r="V23" s="714" t="s">
        <v>21</v>
      </c>
      <c r="W23" s="715">
        <f>J23</f>
        <v>100</v>
      </c>
      <c r="X23" s="1539"/>
      <c r="Y23" s="330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51"/>
      <c r="Q24" s="1536"/>
      <c r="R24" s="714"/>
      <c r="S24" s="715"/>
      <c r="T24" s="714"/>
      <c r="U24" s="715"/>
      <c r="V24" s="714"/>
      <c r="W24" s="715"/>
      <c r="X24" s="1539"/>
      <c r="Y24" s="3306"/>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51"/>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06"/>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51"/>
      <c r="Q26" s="1536" t="str">
        <f t="shared" si="11"/>
        <v>朝向</v>
      </c>
      <c r="R26" s="714" t="s">
        <v>21</v>
      </c>
      <c r="S26" s="715">
        <f t="shared" si="12"/>
        <v>100</v>
      </c>
      <c r="T26" s="714" t="s">
        <v>21</v>
      </c>
      <c r="U26" s="715">
        <f t="shared" si="13"/>
        <v>100</v>
      </c>
      <c r="V26" s="714" t="s">
        <v>21</v>
      </c>
      <c r="W26" s="715">
        <f t="shared" si="14"/>
        <v>100</v>
      </c>
      <c r="X26" s="1539"/>
      <c r="Y26" s="330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51"/>
      <c r="Q27" s="1527">
        <f t="shared" si="11"/>
        <v>111</v>
      </c>
      <c r="R27" s="710" t="s">
        <v>21</v>
      </c>
      <c r="S27" s="711">
        <f t="shared" si="12"/>
        <v>100</v>
      </c>
      <c r="T27" s="710" t="s">
        <v>21</v>
      </c>
      <c r="U27" s="711">
        <f t="shared" si="13"/>
        <v>100</v>
      </c>
      <c r="V27" s="710" t="s">
        <v>21</v>
      </c>
      <c r="W27" s="711">
        <f t="shared" si="14"/>
        <v>100</v>
      </c>
      <c r="X27" s="712"/>
      <c r="Y27" s="330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51"/>
      <c r="Q28" s="1536">
        <f t="shared" si="11"/>
        <v>111</v>
      </c>
      <c r="R28" s="714" t="s">
        <v>21</v>
      </c>
      <c r="S28" s="715">
        <f t="shared" si="12"/>
        <v>100</v>
      </c>
      <c r="T28" s="714" t="s">
        <v>21</v>
      </c>
      <c r="U28" s="715">
        <f t="shared" si="13"/>
        <v>100</v>
      </c>
      <c r="V28" s="714" t="s">
        <v>21</v>
      </c>
      <c r="W28" s="715">
        <f t="shared" si="14"/>
        <v>100</v>
      </c>
      <c r="X28" s="1539"/>
      <c r="Y28" s="330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51"/>
      <c r="Q29" s="1536">
        <f t="shared" si="11"/>
        <v>111</v>
      </c>
      <c r="R29" s="714" t="s">
        <v>21</v>
      </c>
      <c r="S29" s="715">
        <f t="shared" si="12"/>
        <v>100</v>
      </c>
      <c r="T29" s="714" t="s">
        <v>21</v>
      </c>
      <c r="U29" s="715">
        <f t="shared" si="13"/>
        <v>100</v>
      </c>
      <c r="V29" s="714" t="s">
        <v>21</v>
      </c>
      <c r="W29" s="715">
        <f t="shared" si="14"/>
        <v>100</v>
      </c>
      <c r="X29" s="1539"/>
      <c r="Y29" s="330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51"/>
      <c r="Q30" s="1536">
        <f t="shared" si="11"/>
        <v>111</v>
      </c>
      <c r="R30" s="714" t="s">
        <v>21</v>
      </c>
      <c r="S30" s="715">
        <f t="shared" si="12"/>
        <v>100</v>
      </c>
      <c r="T30" s="714" t="s">
        <v>21</v>
      </c>
      <c r="U30" s="715">
        <f t="shared" si="13"/>
        <v>100</v>
      </c>
      <c r="V30" s="714" t="s">
        <v>21</v>
      </c>
      <c r="W30" s="715">
        <f t="shared" si="14"/>
        <v>100</v>
      </c>
      <c r="X30" s="1539"/>
      <c r="Y30" s="330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51"/>
      <c r="Q31" s="1536">
        <f t="shared" si="11"/>
        <v>111</v>
      </c>
      <c r="R31" s="714" t="s">
        <v>21</v>
      </c>
      <c r="S31" s="715">
        <f t="shared" si="12"/>
        <v>100</v>
      </c>
      <c r="T31" s="714" t="s">
        <v>21</v>
      </c>
      <c r="U31" s="715">
        <f t="shared" si="13"/>
        <v>100</v>
      </c>
      <c r="V31" s="714" t="s">
        <v>21</v>
      </c>
      <c r="W31" s="715">
        <f t="shared" si="14"/>
        <v>100</v>
      </c>
      <c r="X31" s="1539"/>
      <c r="Y31" s="3306"/>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47" t="s">
        <v>2386</v>
      </c>
      <c r="Q32" s="1536" t="str">
        <f t="shared" si="11"/>
        <v>建筑类型</v>
      </c>
      <c r="R32" s="714" t="s">
        <v>21</v>
      </c>
      <c r="S32" s="715">
        <f t="shared" si="12"/>
        <v>100</v>
      </c>
      <c r="T32" s="714" t="s">
        <v>21</v>
      </c>
      <c r="U32" s="715">
        <f t="shared" si="13"/>
        <v>100</v>
      </c>
      <c r="V32" s="714" t="s">
        <v>21</v>
      </c>
      <c r="W32" s="715">
        <f t="shared" si="14"/>
        <v>100</v>
      </c>
      <c r="X32" s="1539"/>
      <c r="Y32" s="3308"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48"/>
      <c r="Q33" s="716" t="str">
        <f t="shared" si="11"/>
        <v>项目建筑规模</v>
      </c>
      <c r="R33" s="717" t="s">
        <v>21</v>
      </c>
      <c r="S33" s="718" t="e">
        <f t="shared" si="12"/>
        <v>#N/A</v>
      </c>
      <c r="T33" s="717" t="s">
        <v>21</v>
      </c>
      <c r="U33" s="718" t="e">
        <f t="shared" si="13"/>
        <v>#N/A</v>
      </c>
      <c r="V33" s="717" t="s">
        <v>21</v>
      </c>
      <c r="W33" s="718" t="e">
        <f t="shared" si="14"/>
        <v>#N/A</v>
      </c>
      <c r="X33" s="719"/>
      <c r="Y33" s="3308"/>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48"/>
      <c r="Q34" s="1536" t="str">
        <f t="shared" si="11"/>
        <v>建筑结构</v>
      </c>
      <c r="R34" s="714" t="s">
        <v>21</v>
      </c>
      <c r="S34" s="715">
        <f t="shared" si="12"/>
        <v>100</v>
      </c>
      <c r="T34" s="714" t="s">
        <v>21</v>
      </c>
      <c r="U34" s="715">
        <f t="shared" si="13"/>
        <v>100</v>
      </c>
      <c r="V34" s="714" t="s">
        <v>21</v>
      </c>
      <c r="W34" s="715">
        <f t="shared" si="14"/>
        <v>100</v>
      </c>
      <c r="X34" s="1539"/>
      <c r="Y34" s="3308"/>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48"/>
      <c r="Q35" s="1536" t="str">
        <f t="shared" si="11"/>
        <v>建筑品质</v>
      </c>
      <c r="R35" s="714" t="s">
        <v>21</v>
      </c>
      <c r="S35" s="715">
        <f t="shared" si="12"/>
        <v>100</v>
      </c>
      <c r="T35" s="714" t="s">
        <v>21</v>
      </c>
      <c r="U35" s="715">
        <f t="shared" si="13"/>
        <v>100</v>
      </c>
      <c r="V35" s="714" t="s">
        <v>21</v>
      </c>
      <c r="W35" s="715">
        <f t="shared" si="14"/>
        <v>100</v>
      </c>
      <c r="X35" s="1539"/>
      <c r="Y35" s="3308"/>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48"/>
      <c r="Q36" s="1536" t="str">
        <f t="shared" si="11"/>
        <v>公共部分装修</v>
      </c>
      <c r="R36" s="714" t="s">
        <v>21</v>
      </c>
      <c r="S36" s="715">
        <f t="shared" si="12"/>
        <v>100</v>
      </c>
      <c r="T36" s="714" t="s">
        <v>21</v>
      </c>
      <c r="U36" s="715">
        <f t="shared" si="13"/>
        <v>100</v>
      </c>
      <c r="V36" s="714" t="s">
        <v>21</v>
      </c>
      <c r="W36" s="715">
        <f t="shared" si="14"/>
        <v>100</v>
      </c>
      <c r="X36" s="1539"/>
      <c r="Y36" s="3308"/>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48"/>
      <c r="Q37" s="1527" t="str">
        <f t="shared" si="11"/>
        <v>成新度</v>
      </c>
      <c r="R37" s="710" t="s">
        <v>21</v>
      </c>
      <c r="S37" s="711" t="e">
        <f t="shared" si="12"/>
        <v>#N/A</v>
      </c>
      <c r="T37" s="710" t="s">
        <v>21</v>
      </c>
      <c r="U37" s="711" t="e">
        <f t="shared" si="13"/>
        <v>#N/A</v>
      </c>
      <c r="V37" s="710" t="s">
        <v>21</v>
      </c>
      <c r="W37" s="711" t="e">
        <f t="shared" si="14"/>
        <v>#N/A</v>
      </c>
      <c r="X37" s="712"/>
      <c r="Y37" s="3308"/>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48" t="s">
        <v>2386</v>
      </c>
      <c r="Q38" s="1536" t="str">
        <f t="shared" si="11"/>
        <v>物业管理</v>
      </c>
      <c r="R38" s="714" t="s">
        <v>21</v>
      </c>
      <c r="S38" s="715">
        <f t="shared" si="12"/>
        <v>100</v>
      </c>
      <c r="T38" s="714" t="s">
        <v>21</v>
      </c>
      <c r="U38" s="715">
        <f t="shared" si="13"/>
        <v>100</v>
      </c>
      <c r="V38" s="714" t="s">
        <v>21</v>
      </c>
      <c r="W38" s="715">
        <f t="shared" si="14"/>
        <v>100</v>
      </c>
      <c r="X38" s="1539"/>
      <c r="Y38" s="3308"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48"/>
      <c r="Q39" s="1536" t="str">
        <f t="shared" si="11"/>
        <v>市政基础设施</v>
      </c>
      <c r="R39" s="714" t="s">
        <v>21</v>
      </c>
      <c r="S39" s="715">
        <f t="shared" si="12"/>
        <v>100</v>
      </c>
      <c r="T39" s="714" t="s">
        <v>21</v>
      </c>
      <c r="U39" s="715">
        <f t="shared" si="13"/>
        <v>100</v>
      </c>
      <c r="V39" s="714" t="s">
        <v>21</v>
      </c>
      <c r="W39" s="715">
        <f t="shared" si="14"/>
        <v>100</v>
      </c>
      <c r="X39" s="1539"/>
      <c r="Y39" s="3308"/>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48"/>
      <c r="Q40" s="1536" t="str">
        <f t="shared" si="11"/>
        <v>房型</v>
      </c>
      <c r="R40" s="714" t="s">
        <v>21</v>
      </c>
      <c r="S40" s="715">
        <f t="shared" si="12"/>
        <v>100</v>
      </c>
      <c r="T40" s="714" t="s">
        <v>21</v>
      </c>
      <c r="U40" s="715">
        <f t="shared" si="13"/>
        <v>100</v>
      </c>
      <c r="V40" s="714" t="s">
        <v>21</v>
      </c>
      <c r="W40" s="715">
        <f t="shared" si="14"/>
        <v>100</v>
      </c>
      <c r="X40" s="1539"/>
      <c r="Y40" s="3308"/>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48"/>
      <c r="Q41" s="716" t="str">
        <f t="shared" si="11"/>
        <v>单套/主力户型建筑面积</v>
      </c>
      <c r="R41" s="717" t="s">
        <v>21</v>
      </c>
      <c r="S41" s="718">
        <f t="shared" si="12"/>
        <v>100</v>
      </c>
      <c r="T41" s="717" t="s">
        <v>21</v>
      </c>
      <c r="U41" s="718">
        <f t="shared" si="13"/>
        <v>100</v>
      </c>
      <c r="V41" s="717" t="s">
        <v>21</v>
      </c>
      <c r="W41" s="718">
        <f t="shared" si="14"/>
        <v>100</v>
      </c>
      <c r="X41" s="719"/>
      <c r="Y41" s="3308"/>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48"/>
      <c r="Q42" s="1536" t="str">
        <f t="shared" si="11"/>
        <v>内部装修</v>
      </c>
      <c r="R42" s="714" t="s">
        <v>21</v>
      </c>
      <c r="S42" s="715">
        <f t="shared" si="12"/>
        <v>100</v>
      </c>
      <c r="T42" s="714" t="s">
        <v>21</v>
      </c>
      <c r="U42" s="715">
        <f t="shared" si="13"/>
        <v>100</v>
      </c>
      <c r="V42" s="714" t="s">
        <v>21</v>
      </c>
      <c r="W42" s="715">
        <f t="shared" si="14"/>
        <v>100</v>
      </c>
      <c r="X42" s="1539"/>
      <c r="Y42" s="3308"/>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48"/>
      <c r="Q43" s="1536" t="str">
        <f t="shared" si="11"/>
        <v>内部装修维护情况</v>
      </c>
      <c r="R43" s="714" t="s">
        <v>21</v>
      </c>
      <c r="S43" s="715">
        <f t="shared" si="12"/>
        <v>100</v>
      </c>
      <c r="T43" s="714" t="s">
        <v>21</v>
      </c>
      <c r="U43" s="715">
        <f t="shared" si="13"/>
        <v>100</v>
      </c>
      <c r="V43" s="714" t="s">
        <v>21</v>
      </c>
      <c r="W43" s="715">
        <f t="shared" si="14"/>
        <v>100</v>
      </c>
      <c r="X43" s="1539"/>
      <c r="Y43" s="3308"/>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48"/>
      <c r="Q44" s="1527">
        <f t="shared" si="11"/>
        <v>111</v>
      </c>
      <c r="R44" s="710" t="s">
        <v>21</v>
      </c>
      <c r="S44" s="711">
        <f t="shared" si="12"/>
        <v>100</v>
      </c>
      <c r="T44" s="710" t="s">
        <v>21</v>
      </c>
      <c r="U44" s="711">
        <f t="shared" si="13"/>
        <v>100</v>
      </c>
      <c r="V44" s="710" t="s">
        <v>21</v>
      </c>
      <c r="W44" s="711">
        <f t="shared" si="14"/>
        <v>100</v>
      </c>
      <c r="X44" s="712"/>
      <c r="Y44" s="330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48"/>
      <c r="Q45" s="1536">
        <f t="shared" si="11"/>
        <v>111</v>
      </c>
      <c r="R45" s="714" t="s">
        <v>21</v>
      </c>
      <c r="S45" s="715">
        <f t="shared" si="12"/>
        <v>100</v>
      </c>
      <c r="T45" s="714" t="s">
        <v>21</v>
      </c>
      <c r="U45" s="715">
        <f t="shared" si="13"/>
        <v>100</v>
      </c>
      <c r="V45" s="714" t="s">
        <v>21</v>
      </c>
      <c r="W45" s="715">
        <f t="shared" si="14"/>
        <v>100</v>
      </c>
      <c r="X45" s="1539"/>
      <c r="Y45" s="3308"/>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9"/>
      <c r="Q46" s="1536">
        <f t="shared" si="11"/>
        <v>111</v>
      </c>
      <c r="R46" s="714" t="s">
        <v>20</v>
      </c>
      <c r="S46" s="715">
        <f t="shared" si="12"/>
        <v>100</v>
      </c>
      <c r="T46" s="714" t="s">
        <v>20</v>
      </c>
      <c r="U46" s="715">
        <f t="shared" si="13"/>
        <v>100</v>
      </c>
      <c r="V46" s="714" t="s">
        <v>20</v>
      </c>
      <c r="W46" s="715">
        <f t="shared" si="14"/>
        <v>100</v>
      </c>
      <c r="X46" s="1539"/>
      <c r="Y46" s="3309"/>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290" t="str">
        <f>A47</f>
        <v>成交单价（元/平方米）</v>
      </c>
      <c r="Q47" s="3290"/>
      <c r="R47" s="3310">
        <f>E47</f>
        <v>0</v>
      </c>
      <c r="S47" s="3310"/>
      <c r="T47" s="3310">
        <f>G47</f>
        <v>0</v>
      </c>
      <c r="U47" s="3310"/>
      <c r="V47" s="3310">
        <f>I47</f>
        <v>0</v>
      </c>
      <c r="W47" s="3310"/>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290" t="str">
        <f>A48</f>
        <v>比较价值（元/平方米）</v>
      </c>
      <c r="Q48" s="3290"/>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9" stopIfTrue="1" operator="containsText" text="超过">
      <formula>NOT(ISERROR(SEARCH("超过",F52)))</formula>
    </cfRule>
  </conditionalFormatting>
  <conditionalFormatting sqref="J54">
    <cfRule type="containsText" dxfId="121" priority="18" stopIfTrue="1" operator="containsText" text="超过">
      <formula>NOT(ISERROR(SEARCH("超过",J54)))</formula>
    </cfRule>
  </conditionalFormatting>
  <conditionalFormatting sqref="H54">
    <cfRule type="containsText" dxfId="120" priority="17" stopIfTrue="1" operator="containsText" text="超过">
      <formula>NOT(ISERROR(SEARCH("超过",H54)))</formula>
    </cfRule>
  </conditionalFormatting>
  <conditionalFormatting sqref="F54">
    <cfRule type="containsText" dxfId="119" priority="16" stopIfTrue="1" operator="containsText" text="超过">
      <formula>NOT(ISERROR(SEARCH("超过",F54)))</formula>
    </cfRule>
  </conditionalFormatting>
  <conditionalFormatting sqref="F53 H53 J53">
    <cfRule type="containsText" dxfId="118" priority="15" stopIfTrue="1" operator="containsText" text="超过">
      <formula>NOT(ISERROR(SEARCH("超过",F53)))</formula>
    </cfRule>
  </conditionalFormatting>
  <conditionalFormatting sqref="E52">
    <cfRule type="expression" dxfId="117" priority="14" stopIfTrue="1">
      <formula>$F$52="超过30%"</formula>
    </cfRule>
  </conditionalFormatting>
  <conditionalFormatting sqref="G54">
    <cfRule type="expression" dxfId="116" priority="12" stopIfTrue="1">
      <formula>$H$54="超过30%"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2">
    <cfRule type="expression" dxfId="113" priority="9" stopIfTrue="1">
      <formula>$H$52="超过30%"</formula>
    </cfRule>
  </conditionalFormatting>
  <conditionalFormatting sqref="G53">
    <cfRule type="expression" dxfId="112" priority="8" stopIfTrue="1">
      <formula>$H$53="超过20%"</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估价对象为北京市房地产，为所有。根据《国有土地使用证》[]，估价对象（分摊）出让国有建设用地使用权面积为78780.76平方米，建筑面积为21395.8平方米。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估价对象为北京市房地产,属开发建设的，该项目尚在开发建设中。根据《国有土地使用证》[]，估价对象（分摊）出让国有建设用地使用权面积为78780.76平方米，规划建筑面积为21395.8平方米。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2021年11月12日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21395.8</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91" t="s">
        <v>2467</v>
      </c>
      <c r="D4" s="3292"/>
      <c r="E4" s="3293" t="s">
        <v>2468</v>
      </c>
      <c r="F4" s="3294"/>
      <c r="G4" s="3291" t="s">
        <v>2469</v>
      </c>
      <c r="H4" s="3292"/>
      <c r="I4" s="3291" t="s">
        <v>2470</v>
      </c>
      <c r="J4" s="3292"/>
      <c r="K4" s="567" t="s">
        <v>2471</v>
      </c>
      <c r="L4" s="2944"/>
      <c r="M4" s="2945"/>
      <c r="N4" s="2945"/>
      <c r="O4" s="2945"/>
      <c r="P4" s="3295" t="s">
        <v>2472</v>
      </c>
      <c r="Q4" s="3296"/>
      <c r="R4" s="3278" t="s">
        <v>2468</v>
      </c>
      <c r="S4" s="3279"/>
      <c r="T4" s="3278" t="s">
        <v>2469</v>
      </c>
      <c r="U4" s="3279"/>
      <c r="V4" s="3303" t="s">
        <v>2470</v>
      </c>
      <c r="W4" s="3303"/>
      <c r="X4" s="1539"/>
      <c r="Y4" s="3278" t="s">
        <v>2472</v>
      </c>
      <c r="Z4" s="3279"/>
      <c r="AA4" s="3273" t="s">
        <v>2468</v>
      </c>
      <c r="AB4" s="3303" t="s">
        <v>2469</v>
      </c>
      <c r="AC4" s="3273" t="s">
        <v>2470</v>
      </c>
    </row>
    <row r="5" spans="1:29" ht="15">
      <c r="A5" s="364"/>
      <c r="B5" s="365"/>
      <c r="C5" s="3284" t="s">
        <v>2363</v>
      </c>
      <c r="D5" s="3285"/>
      <c r="E5" s="3282" t="s">
        <v>2364</v>
      </c>
      <c r="F5" s="3283"/>
      <c r="G5" s="3284" t="s">
        <v>2365</v>
      </c>
      <c r="H5" s="3285"/>
      <c r="I5" s="3284" t="s">
        <v>2366</v>
      </c>
      <c r="J5" s="3285"/>
      <c r="K5" s="567"/>
      <c r="L5" s="2944"/>
      <c r="M5" s="2945"/>
      <c r="N5" s="2945"/>
      <c r="O5" s="2945"/>
      <c r="P5" s="3297"/>
      <c r="Q5" s="3298"/>
      <c r="R5" s="3280"/>
      <c r="S5" s="3281"/>
      <c r="T5" s="3280"/>
      <c r="U5" s="3281"/>
      <c r="V5" s="3303"/>
      <c r="W5" s="3303"/>
      <c r="X5" s="1539"/>
      <c r="Y5" s="3280"/>
      <c r="Z5" s="3281"/>
      <c r="AA5" s="3274"/>
      <c r="AB5" s="3303"/>
      <c r="AC5" s="3274"/>
    </row>
    <row r="6" spans="1:29" ht="15.75" thickBot="1">
      <c r="A6" s="366"/>
      <c r="B6" s="367"/>
      <c r="C6" s="3286" t="s">
        <v>2367</v>
      </c>
      <c r="D6" s="3287"/>
      <c r="E6" s="3288" t="s">
        <v>2367</v>
      </c>
      <c r="F6" s="3289"/>
      <c r="G6" s="3286" t="s">
        <v>2367</v>
      </c>
      <c r="H6" s="3287"/>
      <c r="I6" s="3286" t="s">
        <v>2367</v>
      </c>
      <c r="J6" s="3287"/>
      <c r="K6" s="567" t="s">
        <v>2368</v>
      </c>
      <c r="L6" s="2944"/>
      <c r="M6" s="2945"/>
      <c r="N6" s="2945"/>
      <c r="O6" s="2945"/>
      <c r="P6" s="3299"/>
      <c r="Q6" s="3300"/>
      <c r="R6" s="3280"/>
      <c r="S6" s="3281"/>
      <c r="T6" s="3301"/>
      <c r="U6" s="3302"/>
      <c r="V6" s="3303"/>
      <c r="W6" s="3303"/>
      <c r="X6" s="1539"/>
      <c r="Y6" s="3301"/>
      <c r="Z6" s="3302"/>
      <c r="AA6" s="3275"/>
      <c r="AB6" s="3303"/>
      <c r="AC6" s="3275"/>
    </row>
    <row r="7" spans="1:29" s="113" customFormat="1" ht="15.75" thickBot="1">
      <c r="A7" s="368" t="s">
        <v>2369</v>
      </c>
      <c r="B7" s="369"/>
      <c r="C7" s="370">
        <f>'数据-取费表'!B2</f>
        <v>44512</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76" t="s">
        <v>2370</v>
      </c>
      <c r="Q7" s="3304"/>
      <c r="R7" s="710" t="s">
        <v>17</v>
      </c>
      <c r="S7" s="711">
        <f t="shared" ref="S7:S15" si="0">F7</f>
        <v>0</v>
      </c>
      <c r="T7" s="710" t="s">
        <v>17</v>
      </c>
      <c r="U7" s="711">
        <f t="shared" ref="U7:U15" si="1">H7</f>
        <v>0</v>
      </c>
      <c r="V7" s="710" t="s">
        <v>17</v>
      </c>
      <c r="W7" s="711">
        <f t="shared" ref="W7:W15" si="2">J7</f>
        <v>0</v>
      </c>
      <c r="X7" s="712"/>
      <c r="Y7" s="3276" t="s">
        <v>2370</v>
      </c>
      <c r="Z7" s="327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76" t="s">
        <v>2373</v>
      </c>
      <c r="Q8" s="3277"/>
      <c r="R8" s="710" t="s">
        <v>17</v>
      </c>
      <c r="S8" s="711">
        <f t="shared" si="0"/>
        <v>0</v>
      </c>
      <c r="T8" s="710" t="s">
        <v>17</v>
      </c>
      <c r="U8" s="711">
        <f t="shared" si="1"/>
        <v>0</v>
      </c>
      <c r="V8" s="710" t="s">
        <v>17</v>
      </c>
      <c r="W8" s="711">
        <f t="shared" si="2"/>
        <v>0</v>
      </c>
      <c r="X8" s="712"/>
      <c r="Y8" s="3276" t="s">
        <v>2373</v>
      </c>
      <c r="Z8" s="327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46"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46"/>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46"/>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46"/>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46"/>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46"/>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50" t="s">
        <v>2381</v>
      </c>
      <c r="Q15" s="1536" t="str">
        <f t="shared" si="6"/>
        <v>商业繁华度</v>
      </c>
      <c r="R15" s="714" t="s">
        <v>17</v>
      </c>
      <c r="S15" s="715">
        <f t="shared" si="0"/>
        <v>100</v>
      </c>
      <c r="T15" s="714" t="s">
        <v>17</v>
      </c>
      <c r="U15" s="715">
        <f t="shared" si="1"/>
        <v>100</v>
      </c>
      <c r="V15" s="714" t="s">
        <v>17</v>
      </c>
      <c r="W15" s="715">
        <f t="shared" si="2"/>
        <v>100</v>
      </c>
      <c r="X15" s="1539"/>
      <c r="Y15" s="3305"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51"/>
      <c r="Q16" s="1536"/>
      <c r="R16" s="714"/>
      <c r="S16" s="715"/>
      <c r="T16" s="714"/>
      <c r="U16" s="715"/>
      <c r="V16" s="714"/>
      <c r="W16" s="715"/>
      <c r="X16" s="1539"/>
      <c r="Y16" s="330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51"/>
      <c r="Q17" s="1536" t="str">
        <f>B17</f>
        <v>交通便捷度</v>
      </c>
      <c r="R17" s="714" t="s">
        <v>17</v>
      </c>
      <c r="S17" s="715">
        <f>F17</f>
        <v>100</v>
      </c>
      <c r="T17" s="714" t="s">
        <v>17</v>
      </c>
      <c r="U17" s="715">
        <f>H17</f>
        <v>100</v>
      </c>
      <c r="V17" s="714" t="s">
        <v>17</v>
      </c>
      <c r="W17" s="715">
        <f>J17</f>
        <v>100</v>
      </c>
      <c r="X17" s="1539"/>
      <c r="Y17" s="330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51"/>
      <c r="Q18" s="1536"/>
      <c r="R18" s="714"/>
      <c r="S18" s="715"/>
      <c r="T18" s="714"/>
      <c r="U18" s="715"/>
      <c r="V18" s="714"/>
      <c r="W18" s="715"/>
      <c r="X18" s="1539"/>
      <c r="Y18" s="3306"/>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51"/>
      <c r="Q19" s="1536" t="str">
        <f>B19</f>
        <v>公共配套设施</v>
      </c>
      <c r="R19" s="714" t="s">
        <v>17</v>
      </c>
      <c r="S19" s="715">
        <f>F19</f>
        <v>100</v>
      </c>
      <c r="T19" s="714" t="s">
        <v>17</v>
      </c>
      <c r="U19" s="715">
        <f>H19</f>
        <v>100</v>
      </c>
      <c r="V19" s="714" t="s">
        <v>17</v>
      </c>
      <c r="W19" s="715">
        <f>J19</f>
        <v>100</v>
      </c>
      <c r="X19" s="1539"/>
      <c r="Y19" s="330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51"/>
      <c r="Q20" s="1536"/>
      <c r="R20" s="714"/>
      <c r="S20" s="715"/>
      <c r="T20" s="714"/>
      <c r="U20" s="715"/>
      <c r="V20" s="714"/>
      <c r="W20" s="715"/>
      <c r="X20" s="1539"/>
      <c r="Y20" s="3306"/>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51"/>
      <c r="Q21" s="1536" t="str">
        <f>B21</f>
        <v>基础设施水平</v>
      </c>
      <c r="R21" s="714" t="s">
        <v>17</v>
      </c>
      <c r="S21" s="715">
        <f>F21</f>
        <v>100</v>
      </c>
      <c r="T21" s="714" t="s">
        <v>17</v>
      </c>
      <c r="U21" s="715">
        <f>H21</f>
        <v>100</v>
      </c>
      <c r="V21" s="714" t="s">
        <v>17</v>
      </c>
      <c r="W21" s="715">
        <f>J21</f>
        <v>100</v>
      </c>
      <c r="X21" s="1539"/>
      <c r="Y21" s="330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51"/>
      <c r="Q22" s="1536"/>
      <c r="R22" s="714"/>
      <c r="S22" s="715"/>
      <c r="T22" s="714"/>
      <c r="U22" s="715"/>
      <c r="V22" s="714"/>
      <c r="W22" s="715"/>
      <c r="X22" s="1539"/>
      <c r="Y22" s="3306"/>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51"/>
      <c r="Q23" s="1536" t="str">
        <f>B23</f>
        <v>自然及人文环境</v>
      </c>
      <c r="R23" s="714" t="s">
        <v>17</v>
      </c>
      <c r="S23" s="715">
        <f>F23</f>
        <v>100</v>
      </c>
      <c r="T23" s="714" t="s">
        <v>17</v>
      </c>
      <c r="U23" s="715">
        <f>H23</f>
        <v>100</v>
      </c>
      <c r="V23" s="714" t="s">
        <v>17</v>
      </c>
      <c r="W23" s="715">
        <f>J23</f>
        <v>100</v>
      </c>
      <c r="X23" s="1539"/>
      <c r="Y23" s="330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51"/>
      <c r="Q24" s="1536"/>
      <c r="R24" s="714"/>
      <c r="S24" s="715"/>
      <c r="T24" s="714"/>
      <c r="U24" s="715"/>
      <c r="V24" s="714"/>
      <c r="W24" s="715"/>
      <c r="X24" s="1539"/>
      <c r="Y24" s="3306"/>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51"/>
      <c r="Q25" s="1536" t="str">
        <f t="shared" ref="Q25:Q46" si="11">B25</f>
        <v>临街状况</v>
      </c>
      <c r="R25" s="714" t="s">
        <v>17</v>
      </c>
      <c r="S25" s="715">
        <f>F25</f>
        <v>100</v>
      </c>
      <c r="T25" s="714" t="s">
        <v>17</v>
      </c>
      <c r="U25" s="715">
        <f>H25</f>
        <v>100</v>
      </c>
      <c r="V25" s="714" t="s">
        <v>17</v>
      </c>
      <c r="W25" s="715">
        <f>J25</f>
        <v>100</v>
      </c>
      <c r="X25" s="1539"/>
      <c r="Y25" s="3306"/>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51"/>
      <c r="Q26" s="1536" t="str">
        <f t="shared" si="11"/>
        <v>平面位置/可视性</v>
      </c>
      <c r="R26" s="714" t="s">
        <v>17</v>
      </c>
      <c r="S26" s="715">
        <f>F26</f>
        <v>100</v>
      </c>
      <c r="T26" s="714" t="s">
        <v>17</v>
      </c>
      <c r="U26" s="715">
        <f>H26</f>
        <v>100</v>
      </c>
      <c r="V26" s="714" t="s">
        <v>17</v>
      </c>
      <c r="W26" s="715">
        <f>J26</f>
        <v>100</v>
      </c>
      <c r="X26" s="1539"/>
      <c r="Y26" s="3306"/>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51"/>
      <c r="Q27" s="1527" t="str">
        <f t="shared" si="11"/>
        <v>人流量</v>
      </c>
      <c r="R27" s="710" t="s">
        <v>17</v>
      </c>
      <c r="S27" s="711">
        <f>F27</f>
        <v>100</v>
      </c>
      <c r="T27" s="710" t="s">
        <v>17</v>
      </c>
      <c r="U27" s="711">
        <f>H27</f>
        <v>100</v>
      </c>
      <c r="V27" s="710" t="s">
        <v>17</v>
      </c>
      <c r="W27" s="711">
        <f>J27</f>
        <v>100</v>
      </c>
      <c r="X27" s="712"/>
      <c r="Y27" s="3306"/>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51"/>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0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51"/>
      <c r="Q29" s="1536">
        <f t="shared" si="11"/>
        <v>111</v>
      </c>
      <c r="R29" s="714" t="s">
        <v>17</v>
      </c>
      <c r="S29" s="715">
        <f t="shared" si="12"/>
        <v>100</v>
      </c>
      <c r="T29" s="714" t="s">
        <v>17</v>
      </c>
      <c r="U29" s="715">
        <f t="shared" si="13"/>
        <v>100</v>
      </c>
      <c r="V29" s="714" t="s">
        <v>17</v>
      </c>
      <c r="W29" s="715">
        <f t="shared" si="14"/>
        <v>100</v>
      </c>
      <c r="X29" s="1539"/>
      <c r="Y29" s="330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51"/>
      <c r="Q30" s="1536">
        <f t="shared" si="11"/>
        <v>111</v>
      </c>
      <c r="R30" s="714" t="s">
        <v>17</v>
      </c>
      <c r="S30" s="715">
        <f t="shared" si="12"/>
        <v>100</v>
      </c>
      <c r="T30" s="714" t="s">
        <v>17</v>
      </c>
      <c r="U30" s="715">
        <f t="shared" si="13"/>
        <v>100</v>
      </c>
      <c r="V30" s="714" t="s">
        <v>17</v>
      </c>
      <c r="W30" s="715">
        <f t="shared" si="14"/>
        <v>100</v>
      </c>
      <c r="X30" s="1539"/>
      <c r="Y30" s="330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51"/>
      <c r="Q31" s="1536">
        <f t="shared" si="11"/>
        <v>111</v>
      </c>
      <c r="R31" s="714" t="s">
        <v>17</v>
      </c>
      <c r="S31" s="715">
        <f t="shared" si="12"/>
        <v>100</v>
      </c>
      <c r="T31" s="714" t="s">
        <v>17</v>
      </c>
      <c r="U31" s="715">
        <f t="shared" si="13"/>
        <v>100</v>
      </c>
      <c r="V31" s="714" t="s">
        <v>17</v>
      </c>
      <c r="W31" s="715">
        <f t="shared" si="14"/>
        <v>100</v>
      </c>
      <c r="X31" s="1539"/>
      <c r="Y31" s="3306"/>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47" t="s">
        <v>2386</v>
      </c>
      <c r="Q32" s="1536" t="str">
        <f t="shared" si="11"/>
        <v>商业类型</v>
      </c>
      <c r="R32" s="714" t="s">
        <v>17</v>
      </c>
      <c r="S32" s="715">
        <f t="shared" si="12"/>
        <v>100</v>
      </c>
      <c r="T32" s="714" t="s">
        <v>17</v>
      </c>
      <c r="U32" s="715">
        <f t="shared" si="13"/>
        <v>100</v>
      </c>
      <c r="V32" s="714" t="s">
        <v>17</v>
      </c>
      <c r="W32" s="715">
        <f t="shared" si="14"/>
        <v>100</v>
      </c>
      <c r="X32" s="1539"/>
      <c r="Y32" s="3308"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48"/>
      <c r="Q33" s="716" t="str">
        <f t="shared" si="11"/>
        <v>项目建筑规模</v>
      </c>
      <c r="R33" s="717" t="s">
        <v>17</v>
      </c>
      <c r="S33" s="718" t="e">
        <f t="shared" si="12"/>
        <v>#N/A</v>
      </c>
      <c r="T33" s="717" t="s">
        <v>17</v>
      </c>
      <c r="U33" s="718" t="e">
        <f t="shared" si="13"/>
        <v>#N/A</v>
      </c>
      <c r="V33" s="717" t="s">
        <v>17</v>
      </c>
      <c r="W33" s="718" t="e">
        <f t="shared" si="14"/>
        <v>#N/A</v>
      </c>
      <c r="X33" s="719"/>
      <c r="Y33" s="3308"/>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48"/>
      <c r="Q34" s="1536" t="str">
        <f t="shared" si="11"/>
        <v>建筑结构</v>
      </c>
      <c r="R34" s="714" t="s">
        <v>17</v>
      </c>
      <c r="S34" s="715">
        <f t="shared" si="12"/>
        <v>100</v>
      </c>
      <c r="T34" s="714" t="s">
        <v>17</v>
      </c>
      <c r="U34" s="715">
        <f t="shared" si="13"/>
        <v>100</v>
      </c>
      <c r="V34" s="714" t="s">
        <v>17</v>
      </c>
      <c r="W34" s="715">
        <f t="shared" si="14"/>
        <v>100</v>
      </c>
      <c r="X34" s="1539"/>
      <c r="Y34" s="3308"/>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48"/>
      <c r="Q35" s="1536" t="str">
        <f t="shared" si="11"/>
        <v>公共部分装修</v>
      </c>
      <c r="R35" s="714" t="s">
        <v>17</v>
      </c>
      <c r="S35" s="715">
        <f t="shared" si="12"/>
        <v>100</v>
      </c>
      <c r="T35" s="714" t="s">
        <v>17</v>
      </c>
      <c r="U35" s="715">
        <f t="shared" si="13"/>
        <v>100</v>
      </c>
      <c r="V35" s="714" t="s">
        <v>17</v>
      </c>
      <c r="W35" s="715">
        <f t="shared" si="14"/>
        <v>100</v>
      </c>
      <c r="X35" s="1539"/>
      <c r="Y35" s="3308"/>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48"/>
      <c r="Q36" s="1536" t="str">
        <f t="shared" si="11"/>
        <v>成新度</v>
      </c>
      <c r="R36" s="714" t="s">
        <v>17</v>
      </c>
      <c r="S36" s="715" t="e">
        <f t="shared" si="12"/>
        <v>#N/A</v>
      </c>
      <c r="T36" s="714" t="s">
        <v>17</v>
      </c>
      <c r="U36" s="715" t="e">
        <f t="shared" si="13"/>
        <v>#N/A</v>
      </c>
      <c r="V36" s="714" t="s">
        <v>17</v>
      </c>
      <c r="W36" s="715" t="e">
        <f t="shared" si="14"/>
        <v>#N/A</v>
      </c>
      <c r="X36" s="1539"/>
      <c r="Y36" s="3308"/>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48"/>
      <c r="Q37" s="1527" t="str">
        <f t="shared" si="11"/>
        <v>市政基础设施</v>
      </c>
      <c r="R37" s="710" t="s">
        <v>17</v>
      </c>
      <c r="S37" s="711">
        <f t="shared" si="12"/>
        <v>100</v>
      </c>
      <c r="T37" s="710" t="s">
        <v>17</v>
      </c>
      <c r="U37" s="711">
        <f t="shared" si="13"/>
        <v>100</v>
      </c>
      <c r="V37" s="710" t="s">
        <v>17</v>
      </c>
      <c r="W37" s="711">
        <f t="shared" si="14"/>
        <v>100</v>
      </c>
      <c r="X37" s="712"/>
      <c r="Y37" s="3308"/>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48" t="s">
        <v>2386</v>
      </c>
      <c r="Q38" s="1536" t="str">
        <f t="shared" si="11"/>
        <v>业态</v>
      </c>
      <c r="R38" s="714" t="s">
        <v>17</v>
      </c>
      <c r="S38" s="715">
        <f t="shared" si="12"/>
        <v>100</v>
      </c>
      <c r="T38" s="714" t="s">
        <v>17</v>
      </c>
      <c r="U38" s="715">
        <f t="shared" si="13"/>
        <v>100</v>
      </c>
      <c r="V38" s="714" t="s">
        <v>17</v>
      </c>
      <c r="W38" s="715">
        <f t="shared" si="14"/>
        <v>100</v>
      </c>
      <c r="X38" s="1539"/>
      <c r="Y38" s="3308"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48"/>
      <c r="Q39" s="1536" t="str">
        <f t="shared" si="11"/>
        <v>层高</v>
      </c>
      <c r="R39" s="714" t="s">
        <v>17</v>
      </c>
      <c r="S39" s="715">
        <f t="shared" si="12"/>
        <v>100</v>
      </c>
      <c r="T39" s="714" t="s">
        <v>17</v>
      </c>
      <c r="U39" s="715">
        <f t="shared" si="13"/>
        <v>100</v>
      </c>
      <c r="V39" s="714" t="s">
        <v>17</v>
      </c>
      <c r="W39" s="715">
        <f t="shared" si="14"/>
        <v>100</v>
      </c>
      <c r="X39" s="1539"/>
      <c r="Y39" s="3308"/>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48"/>
      <c r="Q40" s="1536" t="str">
        <f t="shared" si="11"/>
        <v>单套建筑面积</v>
      </c>
      <c r="R40" s="714" t="s">
        <v>17</v>
      </c>
      <c r="S40" s="715">
        <f t="shared" si="12"/>
        <v>100</v>
      </c>
      <c r="T40" s="714" t="s">
        <v>17</v>
      </c>
      <c r="U40" s="715">
        <f t="shared" si="13"/>
        <v>100</v>
      </c>
      <c r="V40" s="714" t="s">
        <v>17</v>
      </c>
      <c r="W40" s="715">
        <f t="shared" si="14"/>
        <v>100</v>
      </c>
      <c r="X40" s="1539"/>
      <c r="Y40" s="3308"/>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48"/>
      <c r="Q41" s="716" t="str">
        <f t="shared" si="11"/>
        <v>进深比</v>
      </c>
      <c r="R41" s="717" t="s">
        <v>17</v>
      </c>
      <c r="S41" s="718">
        <f t="shared" si="12"/>
        <v>100</v>
      </c>
      <c r="T41" s="717" t="s">
        <v>17</v>
      </c>
      <c r="U41" s="718">
        <f t="shared" si="13"/>
        <v>100</v>
      </c>
      <c r="V41" s="717" t="s">
        <v>17</v>
      </c>
      <c r="W41" s="718">
        <f t="shared" si="14"/>
        <v>100</v>
      </c>
      <c r="X41" s="719"/>
      <c r="Y41" s="3308"/>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48"/>
      <c r="Q42" s="1536" t="str">
        <f t="shared" si="11"/>
        <v>内部装修</v>
      </c>
      <c r="R42" s="714" t="s">
        <v>17</v>
      </c>
      <c r="S42" s="715">
        <f t="shared" si="12"/>
        <v>100</v>
      </c>
      <c r="T42" s="714" t="s">
        <v>17</v>
      </c>
      <c r="U42" s="715">
        <f t="shared" si="13"/>
        <v>100</v>
      </c>
      <c r="V42" s="714" t="s">
        <v>17</v>
      </c>
      <c r="W42" s="715">
        <f t="shared" si="14"/>
        <v>100</v>
      </c>
      <c r="X42" s="1539"/>
      <c r="Y42" s="3308"/>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48"/>
      <c r="Q43" s="1536" t="str">
        <f t="shared" si="11"/>
        <v>内部装修维护情况</v>
      </c>
      <c r="R43" s="714" t="s">
        <v>17</v>
      </c>
      <c r="S43" s="715">
        <f t="shared" si="12"/>
        <v>100</v>
      </c>
      <c r="T43" s="714" t="s">
        <v>17</v>
      </c>
      <c r="U43" s="715">
        <f t="shared" si="13"/>
        <v>100</v>
      </c>
      <c r="V43" s="714" t="s">
        <v>17</v>
      </c>
      <c r="W43" s="715">
        <f t="shared" si="14"/>
        <v>100</v>
      </c>
      <c r="X43" s="1539"/>
      <c r="Y43" s="3308"/>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48"/>
      <c r="Q44" s="1527">
        <f t="shared" si="11"/>
        <v>111</v>
      </c>
      <c r="R44" s="710" t="s">
        <v>17</v>
      </c>
      <c r="S44" s="711">
        <f t="shared" si="12"/>
        <v>100</v>
      </c>
      <c r="T44" s="710" t="s">
        <v>17</v>
      </c>
      <c r="U44" s="711">
        <f t="shared" si="13"/>
        <v>100</v>
      </c>
      <c r="V44" s="710" t="s">
        <v>17</v>
      </c>
      <c r="W44" s="711">
        <f t="shared" si="14"/>
        <v>100</v>
      </c>
      <c r="X44" s="712"/>
      <c r="Y44" s="330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48"/>
      <c r="Q45" s="1536">
        <f t="shared" si="11"/>
        <v>111</v>
      </c>
      <c r="R45" s="714" t="s">
        <v>17</v>
      </c>
      <c r="S45" s="715">
        <f t="shared" si="12"/>
        <v>100</v>
      </c>
      <c r="T45" s="714" t="s">
        <v>17</v>
      </c>
      <c r="U45" s="715">
        <f t="shared" si="13"/>
        <v>100</v>
      </c>
      <c r="V45" s="714" t="s">
        <v>17</v>
      </c>
      <c r="W45" s="715">
        <f t="shared" si="14"/>
        <v>100</v>
      </c>
      <c r="X45" s="1539"/>
      <c r="Y45" s="3308"/>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9"/>
      <c r="Q46" s="1536">
        <f t="shared" si="11"/>
        <v>111</v>
      </c>
      <c r="R46" s="714" t="s">
        <v>17</v>
      </c>
      <c r="S46" s="715">
        <f t="shared" si="12"/>
        <v>100</v>
      </c>
      <c r="T46" s="714" t="s">
        <v>17</v>
      </c>
      <c r="U46" s="715">
        <f t="shared" si="13"/>
        <v>100</v>
      </c>
      <c r="V46" s="714" t="s">
        <v>17</v>
      </c>
      <c r="W46" s="715">
        <f t="shared" si="14"/>
        <v>100</v>
      </c>
      <c r="X46" s="1539"/>
      <c r="Y46" s="3309"/>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290" t="str">
        <f>A47</f>
        <v>成交单价（元/平方米）</v>
      </c>
      <c r="Q47" s="3290"/>
      <c r="R47" s="3303">
        <f>E47</f>
        <v>0</v>
      </c>
      <c r="S47" s="3303"/>
      <c r="T47" s="3303">
        <f>G47</f>
        <v>0</v>
      </c>
      <c r="U47" s="3303"/>
      <c r="V47" s="3303">
        <f>I47</f>
        <v>0</v>
      </c>
      <c r="W47" s="3303"/>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290" t="str">
        <f>A48</f>
        <v>比较价值（元/平方米）</v>
      </c>
      <c r="Q48" s="3290"/>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21" stopIfTrue="1" operator="containsText" text="超过">
      <formula>NOT(ISERROR(SEARCH("超过",F52)))</formula>
    </cfRule>
  </conditionalFormatting>
  <conditionalFormatting sqref="H54">
    <cfRule type="containsText" dxfId="103" priority="19" stopIfTrue="1" operator="containsText" text="超过">
      <formula>NOT(ISERROR(SEARCH("超过",H54)))</formula>
    </cfRule>
  </conditionalFormatting>
  <conditionalFormatting sqref="F54">
    <cfRule type="containsText" dxfId="102" priority="18" stopIfTrue="1" operator="containsText" text="超过">
      <formula>NOT(ISERROR(SEARCH("超过",F54)))</formula>
    </cfRule>
  </conditionalFormatting>
  <conditionalFormatting sqref="F53 H53">
    <cfRule type="containsText" dxfId="101" priority="17" stopIfTrue="1" operator="containsText" text="超过">
      <formula>NOT(ISERROR(SEARCH("超过",F53)))</formula>
    </cfRule>
  </conditionalFormatting>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G54">
    <cfRule type="expression" dxfId="97" priority="13" stopIfTrue="1">
      <formula>$H$54="超过30%"</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J52">
    <cfRule type="containsText" dxfId="94" priority="10" stopIfTrue="1" operator="containsText" text="超过">
      <formula>NOT(ISERROR(SEARCH("超过",J52)))</formula>
    </cfRule>
  </conditionalFormatting>
  <conditionalFormatting sqref="J54">
    <cfRule type="containsText" dxfId="93" priority="9" stopIfTrue="1" operator="containsText" text="超过">
      <formula>NOT(ISERROR(SEARCH("超过",J54)))</formula>
    </cfRule>
  </conditionalFormatting>
  <conditionalFormatting sqref="J53">
    <cfRule type="containsText" dxfId="92" priority="8" stopIfTrue="1" operator="containsText" text="超过">
      <formula>NOT(ISERROR(SEARCH("超过",J53)))</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F48">
    <cfRule type="expression" dxfId="88" priority="4">
      <formula>$D$48="简单平均"</formula>
    </cfRule>
  </conditionalFormatting>
  <conditionalFormatting sqref="H48">
    <cfRule type="expression" dxfId="87" priority="3">
      <formula>$D$48="简单平均"</formula>
    </cfRule>
  </conditionalFormatting>
  <conditionalFormatting sqref="J48">
    <cfRule type="expression" dxfId="86" priority="2">
      <formula>$D$48="简单平均"</formula>
    </cfRule>
  </conditionalFormatting>
  <conditionalFormatting sqref="F7:F46 H7:H46 J7:J46">
    <cfRule type="cellIs" dxfId="8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21395.8</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91" t="s">
        <v>2467</v>
      </c>
      <c r="D4" s="3292"/>
      <c r="E4" s="3293" t="s">
        <v>2468</v>
      </c>
      <c r="F4" s="3294"/>
      <c r="G4" s="3291" t="s">
        <v>2469</v>
      </c>
      <c r="H4" s="3292"/>
      <c r="I4" s="3291" t="s">
        <v>2470</v>
      </c>
      <c r="J4" s="3292"/>
      <c r="K4" s="567" t="s">
        <v>2471</v>
      </c>
      <c r="L4" s="2944"/>
      <c r="M4" s="2945"/>
      <c r="N4" s="2945"/>
      <c r="O4" s="2945"/>
      <c r="P4" s="3358" t="s">
        <v>2472</v>
      </c>
      <c r="Q4" s="3359"/>
      <c r="R4" s="3353" t="s">
        <v>2468</v>
      </c>
      <c r="S4" s="3354"/>
      <c r="T4" s="3353" t="s">
        <v>2469</v>
      </c>
      <c r="U4" s="3354"/>
      <c r="V4" s="3362" t="s">
        <v>2470</v>
      </c>
      <c r="W4" s="3362"/>
      <c r="X4" s="2144"/>
      <c r="Y4" s="3353" t="s">
        <v>2472</v>
      </c>
      <c r="Z4" s="3354"/>
      <c r="AA4" s="3352" t="s">
        <v>2468</v>
      </c>
      <c r="AB4" s="3352" t="s">
        <v>2469</v>
      </c>
      <c r="AC4" s="3355" t="s">
        <v>2470</v>
      </c>
    </row>
    <row r="5" spans="1:29" ht="15">
      <c r="A5" s="364"/>
      <c r="B5" s="365"/>
      <c r="C5" s="3284" t="s">
        <v>2363</v>
      </c>
      <c r="D5" s="3285"/>
      <c r="E5" s="3282" t="s">
        <v>2364</v>
      </c>
      <c r="F5" s="3283"/>
      <c r="G5" s="3284" t="s">
        <v>2365</v>
      </c>
      <c r="H5" s="3285"/>
      <c r="I5" s="3284" t="s">
        <v>2366</v>
      </c>
      <c r="J5" s="3285"/>
      <c r="K5" s="567"/>
      <c r="L5" s="2944"/>
      <c r="M5" s="2945"/>
      <c r="N5" s="2945"/>
      <c r="O5" s="2945"/>
      <c r="P5" s="3360"/>
      <c r="Q5" s="3298"/>
      <c r="R5" s="3280"/>
      <c r="S5" s="3281"/>
      <c r="T5" s="3280"/>
      <c r="U5" s="3281"/>
      <c r="V5" s="3303"/>
      <c r="W5" s="3303"/>
      <c r="X5" s="1539"/>
      <c r="Y5" s="3280"/>
      <c r="Z5" s="3281"/>
      <c r="AA5" s="3274"/>
      <c r="AB5" s="3274"/>
      <c r="AC5" s="3356"/>
    </row>
    <row r="6" spans="1:29" ht="15.75" thickBot="1">
      <c r="A6" s="366"/>
      <c r="B6" s="367"/>
      <c r="C6" s="3286" t="s">
        <v>2367</v>
      </c>
      <c r="D6" s="3287"/>
      <c r="E6" s="3288" t="s">
        <v>2367</v>
      </c>
      <c r="F6" s="3289"/>
      <c r="G6" s="3286" t="s">
        <v>2367</v>
      </c>
      <c r="H6" s="3287"/>
      <c r="I6" s="3286" t="s">
        <v>2367</v>
      </c>
      <c r="J6" s="3287"/>
      <c r="K6" s="567" t="s">
        <v>2368</v>
      </c>
      <c r="L6" s="2944"/>
      <c r="M6" s="2945"/>
      <c r="N6" s="2945"/>
      <c r="O6" s="2945"/>
      <c r="P6" s="3361"/>
      <c r="Q6" s="3300"/>
      <c r="R6" s="3280"/>
      <c r="S6" s="3281"/>
      <c r="T6" s="3301"/>
      <c r="U6" s="3302"/>
      <c r="V6" s="3303"/>
      <c r="W6" s="3303"/>
      <c r="X6" s="1539"/>
      <c r="Y6" s="3301"/>
      <c r="Z6" s="3302"/>
      <c r="AA6" s="3275"/>
      <c r="AB6" s="3275"/>
      <c r="AC6" s="3357"/>
    </row>
    <row r="7" spans="1:29" s="113" customFormat="1" ht="15.75" thickBot="1">
      <c r="A7" s="368" t="s">
        <v>2369</v>
      </c>
      <c r="B7" s="369"/>
      <c r="C7" s="370">
        <f>'数据-取费表'!B2</f>
        <v>44512</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63" t="s">
        <v>2370</v>
      </c>
      <c r="Q7" s="3304"/>
      <c r="R7" s="710" t="s">
        <v>17</v>
      </c>
      <c r="S7" s="711">
        <f t="shared" ref="S7:S15" si="0">F7</f>
        <v>0</v>
      </c>
      <c r="T7" s="710" t="s">
        <v>17</v>
      </c>
      <c r="U7" s="711">
        <f t="shared" ref="U7:U15" si="1">H7</f>
        <v>0</v>
      </c>
      <c r="V7" s="710" t="s">
        <v>17</v>
      </c>
      <c r="W7" s="711">
        <f t="shared" ref="W7:W15" si="2">J7</f>
        <v>0</v>
      </c>
      <c r="X7" s="712"/>
      <c r="Y7" s="3276" t="s">
        <v>2370</v>
      </c>
      <c r="Z7" s="327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63" t="s">
        <v>2373</v>
      </c>
      <c r="Q8" s="3277"/>
      <c r="R8" s="710" t="s">
        <v>17</v>
      </c>
      <c r="S8" s="711">
        <f t="shared" si="0"/>
        <v>0</v>
      </c>
      <c r="T8" s="710" t="s">
        <v>17</v>
      </c>
      <c r="U8" s="711">
        <f t="shared" si="1"/>
        <v>0</v>
      </c>
      <c r="V8" s="710" t="s">
        <v>17</v>
      </c>
      <c r="W8" s="711">
        <f t="shared" si="2"/>
        <v>0</v>
      </c>
      <c r="X8" s="712"/>
      <c r="Y8" s="3276" t="s">
        <v>2373</v>
      </c>
      <c r="Z8" s="327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46"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46"/>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46"/>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46"/>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46"/>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46"/>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50" t="s">
        <v>2381</v>
      </c>
      <c r="Q15" s="1536" t="str">
        <f t="shared" si="6"/>
        <v>办公集聚程度</v>
      </c>
      <c r="R15" s="714" t="s">
        <v>17</v>
      </c>
      <c r="S15" s="715">
        <f t="shared" si="0"/>
        <v>100</v>
      </c>
      <c r="T15" s="714" t="s">
        <v>17</v>
      </c>
      <c r="U15" s="715">
        <f t="shared" si="1"/>
        <v>100</v>
      </c>
      <c r="V15" s="714" t="s">
        <v>17</v>
      </c>
      <c r="W15" s="715">
        <f t="shared" si="2"/>
        <v>100</v>
      </c>
      <c r="X15" s="1539"/>
      <c r="Y15" s="3305"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51"/>
      <c r="Q16" s="1536"/>
      <c r="R16" s="714"/>
      <c r="S16" s="715"/>
      <c r="T16" s="714"/>
      <c r="U16" s="715"/>
      <c r="V16" s="714"/>
      <c r="W16" s="715"/>
      <c r="X16" s="1539"/>
      <c r="Y16" s="3306"/>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51"/>
      <c r="Q17" s="1536" t="str">
        <f>B17</f>
        <v>交通便捷度</v>
      </c>
      <c r="R17" s="714" t="s">
        <v>17</v>
      </c>
      <c r="S17" s="715">
        <f>F17</f>
        <v>100</v>
      </c>
      <c r="T17" s="714" t="s">
        <v>17</v>
      </c>
      <c r="U17" s="715">
        <f>H17</f>
        <v>100</v>
      </c>
      <c r="V17" s="714" t="s">
        <v>17</v>
      </c>
      <c r="W17" s="715">
        <f>J17</f>
        <v>100</v>
      </c>
      <c r="X17" s="1539"/>
      <c r="Y17" s="330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51"/>
      <c r="Q18" s="1536"/>
      <c r="R18" s="714"/>
      <c r="S18" s="715"/>
      <c r="T18" s="714"/>
      <c r="U18" s="715"/>
      <c r="V18" s="714"/>
      <c r="W18" s="715"/>
      <c r="X18" s="1539"/>
      <c r="Y18" s="3306"/>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51"/>
      <c r="Q19" s="1536" t="str">
        <f>B19</f>
        <v>公共配套设施</v>
      </c>
      <c r="R19" s="714" t="s">
        <v>17</v>
      </c>
      <c r="S19" s="715">
        <f>F19</f>
        <v>100</v>
      </c>
      <c r="T19" s="714" t="s">
        <v>17</v>
      </c>
      <c r="U19" s="715">
        <f>H19</f>
        <v>100</v>
      </c>
      <c r="V19" s="714" t="s">
        <v>17</v>
      </c>
      <c r="W19" s="715">
        <f>J19</f>
        <v>100</v>
      </c>
      <c r="X19" s="1539"/>
      <c r="Y19" s="330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51"/>
      <c r="Q20" s="1536"/>
      <c r="R20" s="714"/>
      <c r="S20" s="715"/>
      <c r="T20" s="714"/>
      <c r="U20" s="715"/>
      <c r="V20" s="714"/>
      <c r="W20" s="715"/>
      <c r="X20" s="1539"/>
      <c r="Y20" s="3306"/>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51"/>
      <c r="Q21" s="1536" t="str">
        <f>B21</f>
        <v>基础设施水平</v>
      </c>
      <c r="R21" s="714" t="s">
        <v>17</v>
      </c>
      <c r="S21" s="715">
        <f>F21</f>
        <v>100</v>
      </c>
      <c r="T21" s="714" t="s">
        <v>17</v>
      </c>
      <c r="U21" s="715">
        <f>H21</f>
        <v>100</v>
      </c>
      <c r="V21" s="714" t="s">
        <v>17</v>
      </c>
      <c r="W21" s="715">
        <f>J21</f>
        <v>100</v>
      </c>
      <c r="X21" s="1539"/>
      <c r="Y21" s="330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51"/>
      <c r="Q22" s="1536"/>
      <c r="R22" s="714"/>
      <c r="S22" s="715"/>
      <c r="T22" s="714"/>
      <c r="U22" s="715"/>
      <c r="V22" s="714"/>
      <c r="W22" s="715"/>
      <c r="X22" s="1539"/>
      <c r="Y22" s="3306"/>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51"/>
      <c r="Q23" s="1536" t="str">
        <f>B23</f>
        <v>环境质量</v>
      </c>
      <c r="R23" s="714" t="s">
        <v>17</v>
      </c>
      <c r="S23" s="715">
        <f>F23</f>
        <v>100</v>
      </c>
      <c r="T23" s="714" t="s">
        <v>17</v>
      </c>
      <c r="U23" s="715">
        <f>H23</f>
        <v>100</v>
      </c>
      <c r="V23" s="714" t="s">
        <v>17</v>
      </c>
      <c r="W23" s="715">
        <f>J23</f>
        <v>100</v>
      </c>
      <c r="X23" s="1539"/>
      <c r="Y23" s="330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51"/>
      <c r="Q24" s="1536"/>
      <c r="R24" s="714"/>
      <c r="S24" s="715"/>
      <c r="T24" s="714"/>
      <c r="U24" s="715"/>
      <c r="V24" s="714"/>
      <c r="W24" s="715"/>
      <c r="X24" s="1539"/>
      <c r="Y24" s="3306"/>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51"/>
      <c r="Q25" s="1536" t="str">
        <f>B25</f>
        <v>毗邻道路的类型与等级</v>
      </c>
      <c r="R25" s="714" t="s">
        <v>17</v>
      </c>
      <c r="S25" s="715">
        <f>F25</f>
        <v>100</v>
      </c>
      <c r="T25" s="714" t="s">
        <v>17</v>
      </c>
      <c r="U25" s="715">
        <f>H25</f>
        <v>100</v>
      </c>
      <c r="V25" s="714" t="s">
        <v>17</v>
      </c>
      <c r="W25" s="715">
        <f>J25</f>
        <v>100</v>
      </c>
      <c r="X25" s="1539"/>
      <c r="Y25" s="330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51"/>
      <c r="Q26" s="1536"/>
      <c r="R26" s="714"/>
      <c r="S26" s="715"/>
      <c r="T26" s="714"/>
      <c r="U26" s="715"/>
      <c r="V26" s="714"/>
      <c r="W26" s="715"/>
      <c r="X26" s="1539"/>
      <c r="Y26" s="3306"/>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51"/>
      <c r="Q27" s="1536" t="str">
        <f t="shared" ref="Q27:Q47" si="11">B27</f>
        <v>楼层</v>
      </c>
      <c r="R27" s="714" t="s">
        <v>17</v>
      </c>
      <c r="S27" s="715">
        <f>F27</f>
        <v>100</v>
      </c>
      <c r="T27" s="714" t="s">
        <v>17</v>
      </c>
      <c r="U27" s="715">
        <f>H27</f>
        <v>100</v>
      </c>
      <c r="V27" s="714" t="s">
        <v>17</v>
      </c>
      <c r="W27" s="715">
        <f>J27</f>
        <v>100</v>
      </c>
      <c r="X27" s="1539"/>
      <c r="Y27" s="3306"/>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51"/>
      <c r="Q28" s="1527" t="str">
        <f t="shared" si="11"/>
        <v>朝向</v>
      </c>
      <c r="R28" s="710" t="s">
        <v>17</v>
      </c>
      <c r="S28" s="711">
        <f>F28</f>
        <v>100</v>
      </c>
      <c r="T28" s="710" t="s">
        <v>17</v>
      </c>
      <c r="U28" s="711">
        <f>H28</f>
        <v>100</v>
      </c>
      <c r="V28" s="710" t="s">
        <v>17</v>
      </c>
      <c r="W28" s="711">
        <f>J28</f>
        <v>100</v>
      </c>
      <c r="X28" s="712"/>
      <c r="Y28" s="330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51"/>
      <c r="Q29" s="1536">
        <f t="shared" si="11"/>
        <v>111</v>
      </c>
      <c r="R29" s="714" t="s">
        <v>17</v>
      </c>
      <c r="S29" s="715">
        <f t="shared" ref="S29:S47" si="12">F29</f>
        <v>100</v>
      </c>
      <c r="T29" s="714" t="s">
        <v>17</v>
      </c>
      <c r="U29" s="715">
        <f t="shared" ref="U29:U47" si="13">H29</f>
        <v>100</v>
      </c>
      <c r="V29" s="714" t="s">
        <v>17</v>
      </c>
      <c r="W29" s="715">
        <f t="shared" ref="W29:W47" si="14">J29</f>
        <v>100</v>
      </c>
      <c r="X29" s="1539"/>
      <c r="Y29" s="330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51"/>
      <c r="Q30" s="1536">
        <f t="shared" si="11"/>
        <v>111</v>
      </c>
      <c r="R30" s="714" t="s">
        <v>17</v>
      </c>
      <c r="S30" s="715">
        <f t="shared" si="12"/>
        <v>100</v>
      </c>
      <c r="T30" s="714" t="s">
        <v>17</v>
      </c>
      <c r="U30" s="715">
        <f t="shared" si="13"/>
        <v>100</v>
      </c>
      <c r="V30" s="714" t="s">
        <v>17</v>
      </c>
      <c r="W30" s="715">
        <f t="shared" si="14"/>
        <v>100</v>
      </c>
      <c r="X30" s="1539"/>
      <c r="Y30" s="330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51"/>
      <c r="Q31" s="1536">
        <f t="shared" si="11"/>
        <v>111</v>
      </c>
      <c r="R31" s="714" t="s">
        <v>17</v>
      </c>
      <c r="S31" s="715">
        <f t="shared" si="12"/>
        <v>100</v>
      </c>
      <c r="T31" s="714" t="s">
        <v>17</v>
      </c>
      <c r="U31" s="715">
        <f t="shared" si="13"/>
        <v>100</v>
      </c>
      <c r="V31" s="714" t="s">
        <v>17</v>
      </c>
      <c r="W31" s="715">
        <f t="shared" si="14"/>
        <v>100</v>
      </c>
      <c r="X31" s="1539"/>
      <c r="Y31" s="330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51"/>
      <c r="Q32" s="1536">
        <f t="shared" si="11"/>
        <v>111</v>
      </c>
      <c r="R32" s="714" t="s">
        <v>17</v>
      </c>
      <c r="S32" s="715">
        <f t="shared" si="12"/>
        <v>100</v>
      </c>
      <c r="T32" s="714" t="s">
        <v>17</v>
      </c>
      <c r="U32" s="715">
        <f t="shared" si="13"/>
        <v>100</v>
      </c>
      <c r="V32" s="714" t="s">
        <v>17</v>
      </c>
      <c r="W32" s="715">
        <f t="shared" si="14"/>
        <v>100</v>
      </c>
      <c r="X32" s="1539"/>
      <c r="Y32" s="3306"/>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47" t="s">
        <v>2386</v>
      </c>
      <c r="Q33" s="1536" t="str">
        <f t="shared" si="11"/>
        <v>建筑类型</v>
      </c>
      <c r="R33" s="714" t="s">
        <v>17</v>
      </c>
      <c r="S33" s="715">
        <f t="shared" si="12"/>
        <v>100</v>
      </c>
      <c r="T33" s="714" t="s">
        <v>17</v>
      </c>
      <c r="U33" s="715">
        <f t="shared" si="13"/>
        <v>100</v>
      </c>
      <c r="V33" s="714" t="s">
        <v>17</v>
      </c>
      <c r="W33" s="715">
        <f t="shared" si="14"/>
        <v>100</v>
      </c>
      <c r="X33" s="1539"/>
      <c r="Y33" s="3308"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48"/>
      <c r="Q34" s="716" t="str">
        <f t="shared" si="11"/>
        <v>项目建筑规模</v>
      </c>
      <c r="R34" s="717" t="s">
        <v>17</v>
      </c>
      <c r="S34" s="718" t="e">
        <f t="shared" si="12"/>
        <v>#N/A</v>
      </c>
      <c r="T34" s="717" t="s">
        <v>17</v>
      </c>
      <c r="U34" s="718" t="e">
        <f t="shared" si="13"/>
        <v>#N/A</v>
      </c>
      <c r="V34" s="717" t="s">
        <v>17</v>
      </c>
      <c r="W34" s="718" t="e">
        <f t="shared" si="14"/>
        <v>#N/A</v>
      </c>
      <c r="X34" s="719"/>
      <c r="Y34" s="3308"/>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48"/>
      <c r="Q35" s="1536" t="str">
        <f t="shared" si="11"/>
        <v>建筑结构</v>
      </c>
      <c r="R35" s="714" t="s">
        <v>17</v>
      </c>
      <c r="S35" s="715">
        <f t="shared" si="12"/>
        <v>100</v>
      </c>
      <c r="T35" s="714" t="s">
        <v>17</v>
      </c>
      <c r="U35" s="715">
        <f t="shared" si="13"/>
        <v>100</v>
      </c>
      <c r="V35" s="714" t="s">
        <v>17</v>
      </c>
      <c r="W35" s="715">
        <f t="shared" si="14"/>
        <v>100</v>
      </c>
      <c r="X35" s="1539"/>
      <c r="Y35" s="3308"/>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48"/>
      <c r="Q36" s="1536" t="str">
        <f t="shared" si="11"/>
        <v>公共部分装修</v>
      </c>
      <c r="R36" s="714" t="s">
        <v>17</v>
      </c>
      <c r="S36" s="715">
        <f t="shared" si="12"/>
        <v>100</v>
      </c>
      <c r="T36" s="714" t="s">
        <v>17</v>
      </c>
      <c r="U36" s="715">
        <f t="shared" si="13"/>
        <v>100</v>
      </c>
      <c r="V36" s="714" t="s">
        <v>17</v>
      </c>
      <c r="W36" s="715">
        <f t="shared" si="14"/>
        <v>100</v>
      </c>
      <c r="X36" s="1539"/>
      <c r="Y36" s="3308"/>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48"/>
      <c r="Q37" s="1536" t="str">
        <f t="shared" si="11"/>
        <v>成新度</v>
      </c>
      <c r="R37" s="714" t="s">
        <v>17</v>
      </c>
      <c r="S37" s="715" t="e">
        <f t="shared" si="12"/>
        <v>#N/A</v>
      </c>
      <c r="T37" s="714" t="s">
        <v>17</v>
      </c>
      <c r="U37" s="715" t="e">
        <f t="shared" si="13"/>
        <v>#N/A</v>
      </c>
      <c r="V37" s="714" t="s">
        <v>17</v>
      </c>
      <c r="W37" s="715" t="e">
        <f t="shared" si="14"/>
        <v>#N/A</v>
      </c>
      <c r="X37" s="1539"/>
      <c r="Y37" s="3308"/>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48"/>
      <c r="Q38" s="1527" t="str">
        <f t="shared" si="11"/>
        <v>写字楼等级</v>
      </c>
      <c r="R38" s="710" t="s">
        <v>17</v>
      </c>
      <c r="S38" s="711">
        <f t="shared" si="12"/>
        <v>100</v>
      </c>
      <c r="T38" s="710" t="s">
        <v>17</v>
      </c>
      <c r="U38" s="711">
        <f t="shared" si="13"/>
        <v>100</v>
      </c>
      <c r="V38" s="710" t="s">
        <v>17</v>
      </c>
      <c r="W38" s="711">
        <f t="shared" si="14"/>
        <v>100</v>
      </c>
      <c r="X38" s="712"/>
      <c r="Y38" s="3308"/>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48" t="s">
        <v>2386</v>
      </c>
      <c r="Q39" s="1536" t="str">
        <f t="shared" si="11"/>
        <v>物业管理</v>
      </c>
      <c r="R39" s="714" t="s">
        <v>17</v>
      </c>
      <c r="S39" s="715">
        <f t="shared" si="12"/>
        <v>100</v>
      </c>
      <c r="T39" s="714" t="s">
        <v>17</v>
      </c>
      <c r="U39" s="715">
        <f t="shared" si="13"/>
        <v>100</v>
      </c>
      <c r="V39" s="714" t="s">
        <v>17</v>
      </c>
      <c r="W39" s="715">
        <f t="shared" si="14"/>
        <v>100</v>
      </c>
      <c r="X39" s="1539"/>
      <c r="Y39" s="3308"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48"/>
      <c r="Q40" s="1536" t="str">
        <f t="shared" si="11"/>
        <v>市政基础设施</v>
      </c>
      <c r="R40" s="714" t="s">
        <v>17</v>
      </c>
      <c r="S40" s="715">
        <f t="shared" si="12"/>
        <v>100</v>
      </c>
      <c r="T40" s="714" t="s">
        <v>17</v>
      </c>
      <c r="U40" s="715">
        <f t="shared" si="13"/>
        <v>100</v>
      </c>
      <c r="V40" s="714" t="s">
        <v>17</v>
      </c>
      <c r="W40" s="715">
        <f t="shared" si="14"/>
        <v>100</v>
      </c>
      <c r="X40" s="1539"/>
      <c r="Y40" s="3308"/>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48"/>
      <c r="Q41" s="1536" t="str">
        <f t="shared" si="11"/>
        <v>层高</v>
      </c>
      <c r="R41" s="714" t="s">
        <v>17</v>
      </c>
      <c r="S41" s="715">
        <f t="shared" si="12"/>
        <v>100</v>
      </c>
      <c r="T41" s="714" t="s">
        <v>17</v>
      </c>
      <c r="U41" s="715">
        <f t="shared" si="13"/>
        <v>100</v>
      </c>
      <c r="V41" s="714" t="s">
        <v>17</v>
      </c>
      <c r="W41" s="715">
        <f t="shared" si="14"/>
        <v>100</v>
      </c>
      <c r="X41" s="1539"/>
      <c r="Y41" s="3308"/>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48"/>
      <c r="Q42" s="716" t="str">
        <f t="shared" si="11"/>
        <v>单套建筑面积</v>
      </c>
      <c r="R42" s="717" t="s">
        <v>17</v>
      </c>
      <c r="S42" s="718">
        <f t="shared" si="12"/>
        <v>100</v>
      </c>
      <c r="T42" s="717" t="s">
        <v>17</v>
      </c>
      <c r="U42" s="718">
        <f t="shared" si="13"/>
        <v>100</v>
      </c>
      <c r="V42" s="717" t="s">
        <v>17</v>
      </c>
      <c r="W42" s="718">
        <f t="shared" si="14"/>
        <v>100</v>
      </c>
      <c r="X42" s="719"/>
      <c r="Y42" s="3308"/>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48"/>
      <c r="Q43" s="1536" t="str">
        <f t="shared" si="11"/>
        <v>内部装修</v>
      </c>
      <c r="R43" s="714" t="s">
        <v>17</v>
      </c>
      <c r="S43" s="715">
        <f t="shared" si="12"/>
        <v>100</v>
      </c>
      <c r="T43" s="714" t="s">
        <v>17</v>
      </c>
      <c r="U43" s="715">
        <f t="shared" si="13"/>
        <v>100</v>
      </c>
      <c r="V43" s="714" t="s">
        <v>17</v>
      </c>
      <c r="W43" s="715">
        <f t="shared" si="14"/>
        <v>100</v>
      </c>
      <c r="X43" s="1539"/>
      <c r="Y43" s="3308"/>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48"/>
      <c r="Q44" s="1536" t="str">
        <f t="shared" si="11"/>
        <v>内部装修维护情况</v>
      </c>
      <c r="R44" s="714" t="s">
        <v>17</v>
      </c>
      <c r="S44" s="715">
        <f t="shared" si="12"/>
        <v>100</v>
      </c>
      <c r="T44" s="714" t="s">
        <v>17</v>
      </c>
      <c r="U44" s="715">
        <f t="shared" si="13"/>
        <v>100</v>
      </c>
      <c r="V44" s="714" t="s">
        <v>17</v>
      </c>
      <c r="W44" s="715">
        <f t="shared" si="14"/>
        <v>100</v>
      </c>
      <c r="X44" s="1539"/>
      <c r="Y44" s="3308"/>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48"/>
      <c r="Q45" s="1527">
        <f t="shared" si="11"/>
        <v>111</v>
      </c>
      <c r="R45" s="710" t="s">
        <v>17</v>
      </c>
      <c r="S45" s="711">
        <f t="shared" si="12"/>
        <v>100</v>
      </c>
      <c r="T45" s="710" t="s">
        <v>17</v>
      </c>
      <c r="U45" s="711">
        <f t="shared" si="13"/>
        <v>100</v>
      </c>
      <c r="V45" s="710" t="s">
        <v>17</v>
      </c>
      <c r="W45" s="711">
        <f t="shared" si="14"/>
        <v>100</v>
      </c>
      <c r="X45" s="712"/>
      <c r="Y45" s="3308"/>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48"/>
      <c r="Q46" s="1536">
        <f t="shared" si="11"/>
        <v>111</v>
      </c>
      <c r="R46" s="714" t="s">
        <v>17</v>
      </c>
      <c r="S46" s="715">
        <f t="shared" si="12"/>
        <v>100</v>
      </c>
      <c r="T46" s="714" t="s">
        <v>17</v>
      </c>
      <c r="U46" s="715">
        <f t="shared" si="13"/>
        <v>100</v>
      </c>
      <c r="V46" s="714" t="s">
        <v>17</v>
      </c>
      <c r="W46" s="715">
        <f t="shared" si="14"/>
        <v>100</v>
      </c>
      <c r="X46" s="1539"/>
      <c r="Y46" s="3308"/>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9"/>
      <c r="Q47" s="1536">
        <f t="shared" si="11"/>
        <v>111</v>
      </c>
      <c r="R47" s="714" t="s">
        <v>17</v>
      </c>
      <c r="S47" s="715">
        <f t="shared" si="12"/>
        <v>100</v>
      </c>
      <c r="T47" s="714" t="s">
        <v>17</v>
      </c>
      <c r="U47" s="715">
        <f t="shared" si="13"/>
        <v>100</v>
      </c>
      <c r="V47" s="714" t="s">
        <v>17</v>
      </c>
      <c r="W47" s="715">
        <f t="shared" si="14"/>
        <v>100</v>
      </c>
      <c r="X47" s="1539"/>
      <c r="Y47" s="3309"/>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346" t="str">
        <f>A48</f>
        <v>成交单价（元/平方米）</v>
      </c>
      <c r="Q48" s="3290"/>
      <c r="R48" s="3310">
        <f>E48</f>
        <v>0</v>
      </c>
      <c r="S48" s="3310"/>
      <c r="T48" s="3310">
        <f>G48</f>
        <v>0</v>
      </c>
      <c r="U48" s="3310"/>
      <c r="V48" s="3310">
        <f>I48</f>
        <v>0</v>
      </c>
      <c r="W48" s="3310"/>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346" t="str">
        <f>A49</f>
        <v>比较价值（元/平方米）</v>
      </c>
      <c r="Q49" s="3290"/>
      <c r="R49" s="3310" t="e">
        <f>IF(F1="售价",ROUND(PRODUCT(R48,AA7:AA47),0),ROUND(PRODUCT(R48,AA7:AA47),1))</f>
        <v>#DIV/0!</v>
      </c>
      <c r="S49" s="3310"/>
      <c r="T49" s="3310" t="e">
        <f>IF(F1="售价",ROUND(PRODUCT(T48,AB7:AB47),0),ROUND(PRODUCT(T48,AB7:AB47),1))</f>
        <v>#DIV/0!</v>
      </c>
      <c r="U49" s="3310"/>
      <c r="V49" s="3310" t="e">
        <f>IF(F1="售价",ROUND(PRODUCT(V48,AC7:AC47),0),ROUND(PRODUCT(V48,AC7:AC47),1))</f>
        <v>#DIV/0!</v>
      </c>
      <c r="W49" s="3310"/>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64" t="str">
        <f>A50</f>
        <v>估价对象XX用房的比较价值（楼面单价，元/平方米）</v>
      </c>
      <c r="Q50" s="3365"/>
      <c r="R50" s="3366" t="e">
        <f>IF(F1="售价",ROUND(IF(D49="简单平均",AVERAGE(R49:V49),R49*F49+T49*H49+V49*J49),0),ROUND(IF(D49="简单平均",AVERAGE(R49:V49),R49*F49+T49*H49+V49*J49),1))</f>
        <v>#DIV/0!</v>
      </c>
      <c r="S50" s="3366"/>
      <c r="T50" s="3366"/>
      <c r="U50" s="3366"/>
      <c r="V50" s="3366"/>
      <c r="W50" s="3366"/>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4" priority="20" stopIfTrue="1" operator="containsText" text="超过">
      <formula>NOT(ISERROR(SEARCH("超过",F53)))</formula>
    </cfRule>
  </conditionalFormatting>
  <conditionalFormatting sqref="H55">
    <cfRule type="containsText" dxfId="83" priority="19" stopIfTrue="1" operator="containsText" text="超过">
      <formula>NOT(ISERROR(SEARCH("超过",H55)))</formula>
    </cfRule>
  </conditionalFormatting>
  <conditionalFormatting sqref="F55">
    <cfRule type="containsText" dxfId="82" priority="18" stopIfTrue="1" operator="containsText" text="超过">
      <formula>NOT(ISERROR(SEARCH("超过",F55)))</formula>
    </cfRule>
  </conditionalFormatting>
  <conditionalFormatting sqref="F54 H54">
    <cfRule type="containsText" dxfId="81" priority="17" stopIfTrue="1" operator="containsText" text="超过">
      <formula>NOT(ISERROR(SEARCH("超过",F54)))</formula>
    </cfRule>
  </conditionalFormatting>
  <conditionalFormatting sqref="E53">
    <cfRule type="expression" dxfId="80" priority="16" stopIfTrue="1">
      <formula>$F$53="超过30%"</formula>
    </cfRule>
  </conditionalFormatting>
  <conditionalFormatting sqref="E54">
    <cfRule type="expression" dxfId="79" priority="15" stopIfTrue="1">
      <formula>$F$54="超过20%"</formula>
    </cfRule>
  </conditionalFormatting>
  <conditionalFormatting sqref="E55">
    <cfRule type="expression" dxfId="78" priority="14" stopIfTrue="1">
      <formula>$F$55="超过30%"</formula>
    </cfRule>
  </conditionalFormatting>
  <conditionalFormatting sqref="G55">
    <cfRule type="expression" dxfId="77" priority="13" stopIfTrue="1">
      <formula>$H$55="超过30%"</formula>
    </cfRule>
  </conditionalFormatting>
  <conditionalFormatting sqref="G53">
    <cfRule type="expression" dxfId="76" priority="12" stopIfTrue="1">
      <formula>$H$53="超过30%"</formula>
    </cfRule>
  </conditionalFormatting>
  <conditionalFormatting sqref="G54">
    <cfRule type="expression" dxfId="75" priority="11" stopIfTrue="1">
      <formula>$H$54="超过20%"</formula>
    </cfRule>
  </conditionalFormatting>
  <conditionalFormatting sqref="J53">
    <cfRule type="containsText" dxfId="74" priority="10" stopIfTrue="1" operator="containsText" text="超过">
      <formula>NOT(ISERROR(SEARCH("超过",J53)))</formula>
    </cfRule>
  </conditionalFormatting>
  <conditionalFormatting sqref="J55">
    <cfRule type="containsText" dxfId="73" priority="9" stopIfTrue="1" operator="containsText" text="超过">
      <formula>NOT(ISERROR(SEARCH("超过",J55)))</formula>
    </cfRule>
  </conditionalFormatting>
  <conditionalFormatting sqref="J54">
    <cfRule type="containsText" dxfId="72" priority="8" stopIfTrue="1" operator="containsText" text="超过">
      <formula>NOT(ISERROR(SEARCH("超过",J54)))</formula>
    </cfRule>
  </conditionalFormatting>
  <conditionalFormatting sqref="I53">
    <cfRule type="expression" dxfId="71" priority="7" stopIfTrue="1">
      <formula>$J$53="超过30%"</formula>
    </cfRule>
  </conditionalFormatting>
  <conditionalFormatting sqref="I54">
    <cfRule type="expression" dxfId="70" priority="6" stopIfTrue="1">
      <formula>$J$53+$J$54="超过20%"</formula>
    </cfRule>
  </conditionalFormatting>
  <conditionalFormatting sqref="I55">
    <cfRule type="expression" dxfId="69" priority="5" stopIfTrue="1">
      <formula>$J$55="超过30%"</formula>
    </cfRule>
  </conditionalFormatting>
  <conditionalFormatting sqref="F49">
    <cfRule type="expression" dxfId="68" priority="4">
      <formula>$D$49="简单平均"</formula>
    </cfRule>
  </conditionalFormatting>
  <conditionalFormatting sqref="H49">
    <cfRule type="expression" dxfId="67" priority="3">
      <formula>$D$49="简单平均"</formula>
    </cfRule>
  </conditionalFormatting>
  <conditionalFormatting sqref="J49">
    <cfRule type="expression" dxfId="66" priority="2">
      <formula>$D$49="简单平均"</formula>
    </cfRule>
  </conditionalFormatting>
  <conditionalFormatting sqref="F7:F47 H7:H47 J7:J47">
    <cfRule type="cellIs" dxfId="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91" t="s">
        <v>2467</v>
      </c>
      <c r="D4" s="3292"/>
      <c r="E4" s="3293" t="s">
        <v>2468</v>
      </c>
      <c r="F4" s="3294"/>
      <c r="G4" s="3291" t="s">
        <v>2469</v>
      </c>
      <c r="H4" s="3292"/>
      <c r="I4" s="3291" t="s">
        <v>2470</v>
      </c>
      <c r="J4" s="3292"/>
      <c r="K4" s="567" t="s">
        <v>2471</v>
      </c>
      <c r="L4" s="2944"/>
      <c r="M4" s="2945"/>
      <c r="N4" s="2945"/>
      <c r="O4" s="2945"/>
      <c r="P4" s="3295" t="s">
        <v>2472</v>
      </c>
      <c r="Q4" s="3296"/>
      <c r="R4" s="3278" t="s">
        <v>2468</v>
      </c>
      <c r="S4" s="3279"/>
      <c r="T4" s="3278" t="s">
        <v>2469</v>
      </c>
      <c r="U4" s="3279"/>
      <c r="V4" s="3303" t="s">
        <v>2470</v>
      </c>
      <c r="W4" s="3303"/>
      <c r="X4" s="1539"/>
      <c r="Y4" s="3278" t="s">
        <v>2472</v>
      </c>
      <c r="Z4" s="3279"/>
      <c r="AA4" s="3273" t="s">
        <v>2468</v>
      </c>
      <c r="AB4" s="3274" t="s">
        <v>2469</v>
      </c>
      <c r="AC4" s="3273" t="s">
        <v>2470</v>
      </c>
    </row>
    <row r="5" spans="1:29" ht="15">
      <c r="A5" s="364"/>
      <c r="B5" s="365"/>
      <c r="C5" s="3284" t="s">
        <v>2363</v>
      </c>
      <c r="D5" s="3285"/>
      <c r="E5" s="3282" t="s">
        <v>2364</v>
      </c>
      <c r="F5" s="3283"/>
      <c r="G5" s="3284" t="s">
        <v>2365</v>
      </c>
      <c r="H5" s="3285"/>
      <c r="I5" s="3284" t="s">
        <v>2366</v>
      </c>
      <c r="J5" s="3285"/>
      <c r="K5" s="567"/>
      <c r="L5" s="2944"/>
      <c r="M5" s="2945"/>
      <c r="N5" s="2945"/>
      <c r="O5" s="2945"/>
      <c r="P5" s="3297"/>
      <c r="Q5" s="3298"/>
      <c r="R5" s="3280"/>
      <c r="S5" s="3281"/>
      <c r="T5" s="3280"/>
      <c r="U5" s="3281"/>
      <c r="V5" s="3303"/>
      <c r="W5" s="3303"/>
      <c r="X5" s="1539"/>
      <c r="Y5" s="3280"/>
      <c r="Z5" s="3281"/>
      <c r="AA5" s="3274"/>
      <c r="AB5" s="3274"/>
      <c r="AC5" s="3274"/>
    </row>
    <row r="6" spans="1:29" ht="15.75" thickBot="1">
      <c r="A6" s="366"/>
      <c r="B6" s="367"/>
      <c r="C6" s="3286" t="s">
        <v>2367</v>
      </c>
      <c r="D6" s="3287"/>
      <c r="E6" s="3288" t="s">
        <v>2367</v>
      </c>
      <c r="F6" s="3289"/>
      <c r="G6" s="3286" t="s">
        <v>2367</v>
      </c>
      <c r="H6" s="3287"/>
      <c r="I6" s="3286" t="s">
        <v>2367</v>
      </c>
      <c r="J6" s="3287"/>
      <c r="K6" s="567" t="s">
        <v>2368</v>
      </c>
      <c r="L6" s="2944"/>
      <c r="M6" s="2945"/>
      <c r="N6" s="2945"/>
      <c r="O6" s="2945"/>
      <c r="P6" s="3299"/>
      <c r="Q6" s="3300"/>
      <c r="R6" s="3280"/>
      <c r="S6" s="3281"/>
      <c r="T6" s="3301"/>
      <c r="U6" s="3302"/>
      <c r="V6" s="3303"/>
      <c r="W6" s="3303"/>
      <c r="X6" s="1539"/>
      <c r="Y6" s="3301"/>
      <c r="Z6" s="3302"/>
      <c r="AA6" s="3275"/>
      <c r="AB6" s="3275"/>
      <c r="AC6" s="3275"/>
    </row>
    <row r="7" spans="1:29" s="113" customFormat="1" ht="15.75" thickBot="1">
      <c r="A7" s="368" t="s">
        <v>2369</v>
      </c>
      <c r="B7" s="369"/>
      <c r="C7" s="370">
        <f>'数据-取费表'!B2</f>
        <v>44512</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76" t="s">
        <v>2370</v>
      </c>
      <c r="Q7" s="3304"/>
      <c r="R7" s="710" t="s">
        <v>17</v>
      </c>
      <c r="S7" s="711">
        <f t="shared" ref="S7:S14" si="0">F7</f>
        <v>0</v>
      </c>
      <c r="T7" s="710" t="s">
        <v>17</v>
      </c>
      <c r="U7" s="711">
        <f t="shared" ref="U7:U14" si="1">H7</f>
        <v>0</v>
      </c>
      <c r="V7" s="710" t="s">
        <v>17</v>
      </c>
      <c r="W7" s="711">
        <f t="shared" ref="W7:W14" si="2">J7</f>
        <v>0</v>
      </c>
      <c r="X7" s="712"/>
      <c r="Y7" s="3276" t="s">
        <v>2370</v>
      </c>
      <c r="Z7" s="327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76" t="s">
        <v>2373</v>
      </c>
      <c r="Q8" s="3277"/>
      <c r="R8" s="710" t="s">
        <v>17</v>
      </c>
      <c r="S8" s="711">
        <f t="shared" si="0"/>
        <v>0</v>
      </c>
      <c r="T8" s="710" t="s">
        <v>17</v>
      </c>
      <c r="U8" s="711">
        <f t="shared" si="1"/>
        <v>0</v>
      </c>
      <c r="V8" s="710" t="s">
        <v>17</v>
      </c>
      <c r="W8" s="711">
        <f t="shared" si="2"/>
        <v>0</v>
      </c>
      <c r="X8" s="712"/>
      <c r="Y8" s="3276" t="s">
        <v>2373</v>
      </c>
      <c r="Z8" s="327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90" t="s">
        <v>2376</v>
      </c>
      <c r="Q9" s="1527" t="str">
        <f t="shared" ref="Q9:Q14" si="6">B9</f>
        <v>用途</v>
      </c>
      <c r="R9" s="710" t="s">
        <v>17</v>
      </c>
      <c r="S9" s="711">
        <f t="shared" si="0"/>
        <v>100</v>
      </c>
      <c r="T9" s="710" t="s">
        <v>17</v>
      </c>
      <c r="U9" s="711">
        <f t="shared" si="1"/>
        <v>100</v>
      </c>
      <c r="V9" s="710" t="s">
        <v>17</v>
      </c>
      <c r="W9" s="711">
        <f t="shared" si="2"/>
        <v>100</v>
      </c>
      <c r="X9" s="712"/>
      <c r="Y9" s="324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90"/>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90"/>
      <c r="Q11" s="1527">
        <f t="shared" si="6"/>
        <v>111</v>
      </c>
      <c r="R11" s="710" t="s">
        <v>17</v>
      </c>
      <c r="S11" s="711">
        <f t="shared" si="0"/>
        <v>100</v>
      </c>
      <c r="T11" s="710" t="s">
        <v>17</v>
      </c>
      <c r="U11" s="711">
        <f t="shared" si="1"/>
        <v>100</v>
      </c>
      <c r="V11" s="710" t="s">
        <v>17</v>
      </c>
      <c r="W11" s="711">
        <f t="shared" si="2"/>
        <v>100</v>
      </c>
      <c r="X11" s="712"/>
      <c r="Y11" s="324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90"/>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90"/>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05" t="s">
        <v>2381</v>
      </c>
      <c r="Q14" s="1536" t="str">
        <f t="shared" si="6"/>
        <v>交通便捷度</v>
      </c>
      <c r="R14" s="714" t="s">
        <v>17</v>
      </c>
      <c r="S14" s="715">
        <f t="shared" si="0"/>
        <v>100</v>
      </c>
      <c r="T14" s="714" t="s">
        <v>17</v>
      </c>
      <c r="U14" s="715">
        <f t="shared" si="1"/>
        <v>100</v>
      </c>
      <c r="V14" s="714" t="s">
        <v>17</v>
      </c>
      <c r="W14" s="715">
        <f t="shared" si="2"/>
        <v>100</v>
      </c>
      <c r="X14" s="1539"/>
      <c r="Y14" s="3305"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06"/>
      <c r="Q15" s="1536"/>
      <c r="R15" s="714"/>
      <c r="S15" s="715"/>
      <c r="T15" s="714"/>
      <c r="U15" s="715"/>
      <c r="V15" s="714"/>
      <c r="W15" s="715"/>
      <c r="X15" s="1539"/>
      <c r="Y15" s="3306"/>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06"/>
      <c r="Q16" s="1536" t="str">
        <f>B16</f>
        <v>公共配套设施</v>
      </c>
      <c r="R16" s="714" t="s">
        <v>17</v>
      </c>
      <c r="S16" s="715">
        <f>F16</f>
        <v>100</v>
      </c>
      <c r="T16" s="714" t="s">
        <v>17</v>
      </c>
      <c r="U16" s="715">
        <f>H16</f>
        <v>100</v>
      </c>
      <c r="V16" s="714" t="s">
        <v>17</v>
      </c>
      <c r="W16" s="715">
        <f>J16</f>
        <v>100</v>
      </c>
      <c r="X16" s="1539"/>
      <c r="Y16" s="330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06"/>
      <c r="Q17" s="1536"/>
      <c r="R17" s="714"/>
      <c r="S17" s="715"/>
      <c r="T17" s="714"/>
      <c r="U17" s="715"/>
      <c r="V17" s="714"/>
      <c r="W17" s="715"/>
      <c r="X17" s="1539"/>
      <c r="Y17" s="3306"/>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06"/>
      <c r="Q18" s="1536" t="str">
        <f>B18</f>
        <v>基础设施水平</v>
      </c>
      <c r="R18" s="714" t="s">
        <v>17</v>
      </c>
      <c r="S18" s="715">
        <f>F18</f>
        <v>100</v>
      </c>
      <c r="T18" s="714" t="s">
        <v>17</v>
      </c>
      <c r="U18" s="715">
        <f>H18</f>
        <v>100</v>
      </c>
      <c r="V18" s="714" t="s">
        <v>17</v>
      </c>
      <c r="W18" s="715">
        <f>J18</f>
        <v>100</v>
      </c>
      <c r="X18" s="1539"/>
      <c r="Y18" s="330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06"/>
      <c r="Q19" s="1536"/>
      <c r="R19" s="714"/>
      <c r="S19" s="715"/>
      <c r="T19" s="714"/>
      <c r="U19" s="715"/>
      <c r="V19" s="714"/>
      <c r="W19" s="715"/>
      <c r="X19" s="1539"/>
      <c r="Y19" s="3306"/>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06"/>
      <c r="Q20" s="1536" t="str">
        <f>B20</f>
        <v>自然及人文环境</v>
      </c>
      <c r="R20" s="714" t="s">
        <v>17</v>
      </c>
      <c r="S20" s="715">
        <f>F20</f>
        <v>100</v>
      </c>
      <c r="T20" s="714" t="s">
        <v>17</v>
      </c>
      <c r="U20" s="715">
        <f>H20</f>
        <v>100</v>
      </c>
      <c r="V20" s="714" t="s">
        <v>17</v>
      </c>
      <c r="W20" s="715">
        <f>J20</f>
        <v>100</v>
      </c>
      <c r="X20" s="1539"/>
      <c r="Y20" s="330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06"/>
      <c r="Q21" s="1536"/>
      <c r="R21" s="714"/>
      <c r="S21" s="715"/>
      <c r="T21" s="714"/>
      <c r="U21" s="715"/>
      <c r="V21" s="714"/>
      <c r="W21" s="715"/>
      <c r="X21" s="1539"/>
      <c r="Y21" s="3306"/>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06"/>
      <c r="Q22" s="1536" t="str">
        <f>B22</f>
        <v>楼层</v>
      </c>
      <c r="R22" s="714" t="s">
        <v>17</v>
      </c>
      <c r="S22" s="715">
        <f>F22</f>
        <v>100</v>
      </c>
      <c r="T22" s="714" t="s">
        <v>17</v>
      </c>
      <c r="U22" s="715">
        <f>H22</f>
        <v>100</v>
      </c>
      <c r="V22" s="714" t="s">
        <v>17</v>
      </c>
      <c r="W22" s="715">
        <f>J22</f>
        <v>100</v>
      </c>
      <c r="X22" s="1539"/>
      <c r="Y22" s="330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06"/>
      <c r="Q23" s="1536">
        <f>B23</f>
        <v>111</v>
      </c>
      <c r="R23" s="714" t="s">
        <v>17</v>
      </c>
      <c r="S23" s="715">
        <f>F23</f>
        <v>100</v>
      </c>
      <c r="T23" s="714" t="s">
        <v>17</v>
      </c>
      <c r="U23" s="715">
        <f>H23</f>
        <v>100</v>
      </c>
      <c r="V23" s="714" t="s">
        <v>17</v>
      </c>
      <c r="W23" s="715">
        <f>J23</f>
        <v>100</v>
      </c>
      <c r="X23" s="1539"/>
      <c r="Y23" s="330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06"/>
      <c r="Q24" s="1536">
        <f t="shared" ref="Q24:Q36" si="11">B24</f>
        <v>111</v>
      </c>
      <c r="R24" s="714" t="s">
        <v>17</v>
      </c>
      <c r="S24" s="715">
        <f>F24</f>
        <v>100</v>
      </c>
      <c r="T24" s="714" t="s">
        <v>17</v>
      </c>
      <c r="U24" s="715">
        <f>H24</f>
        <v>100</v>
      </c>
      <c r="V24" s="714" t="s">
        <v>17</v>
      </c>
      <c r="W24" s="715">
        <f>J24</f>
        <v>100</v>
      </c>
      <c r="X24" s="1539"/>
      <c r="Y24" s="330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06"/>
      <c r="Q25" s="1527">
        <f t="shared" si="11"/>
        <v>111</v>
      </c>
      <c r="R25" s="710" t="s">
        <v>17</v>
      </c>
      <c r="S25" s="711">
        <f>F25</f>
        <v>100</v>
      </c>
      <c r="T25" s="710" t="s">
        <v>17</v>
      </c>
      <c r="U25" s="711">
        <f>H25</f>
        <v>100</v>
      </c>
      <c r="V25" s="710" t="s">
        <v>17</v>
      </c>
      <c r="W25" s="711">
        <f>J25</f>
        <v>100</v>
      </c>
      <c r="X25" s="712"/>
      <c r="Y25" s="3306"/>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07"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08"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08"/>
      <c r="Q27" s="716" t="str">
        <f t="shared" si="11"/>
        <v>项目停车位配比</v>
      </c>
      <c r="R27" s="717" t="s">
        <v>17</v>
      </c>
      <c r="S27" s="718">
        <f t="shared" si="12"/>
        <v>100</v>
      </c>
      <c r="T27" s="717" t="s">
        <v>17</v>
      </c>
      <c r="U27" s="718">
        <f t="shared" si="13"/>
        <v>100</v>
      </c>
      <c r="V27" s="717" t="s">
        <v>17</v>
      </c>
      <c r="W27" s="718">
        <f t="shared" si="14"/>
        <v>100</v>
      </c>
      <c r="X27" s="719"/>
      <c r="Y27" s="3308"/>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08"/>
      <c r="Q28" s="1536" t="str">
        <f t="shared" si="11"/>
        <v>公共部分装修</v>
      </c>
      <c r="R28" s="714" t="s">
        <v>17</v>
      </c>
      <c r="S28" s="715">
        <f t="shared" si="12"/>
        <v>100</v>
      </c>
      <c r="T28" s="714" t="s">
        <v>17</v>
      </c>
      <c r="U28" s="715">
        <f t="shared" si="13"/>
        <v>100</v>
      </c>
      <c r="V28" s="714" t="s">
        <v>17</v>
      </c>
      <c r="W28" s="715">
        <f t="shared" si="14"/>
        <v>100</v>
      </c>
      <c r="X28" s="1539"/>
      <c r="Y28" s="3308"/>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08"/>
      <c r="Q29" s="1536" t="str">
        <f t="shared" si="11"/>
        <v>成新率</v>
      </c>
      <c r="R29" s="714" t="s">
        <v>17</v>
      </c>
      <c r="S29" s="715" t="e">
        <f t="shared" si="12"/>
        <v>#N/A</v>
      </c>
      <c r="T29" s="714" t="s">
        <v>17</v>
      </c>
      <c r="U29" s="715" t="e">
        <f t="shared" si="13"/>
        <v>#N/A</v>
      </c>
      <c r="V29" s="714" t="s">
        <v>17</v>
      </c>
      <c r="W29" s="715" t="e">
        <f t="shared" si="14"/>
        <v>#N/A</v>
      </c>
      <c r="X29" s="1539"/>
      <c r="Y29" s="3308"/>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08"/>
      <c r="Q30" s="1536" t="str">
        <f t="shared" si="11"/>
        <v>物业等级</v>
      </c>
      <c r="R30" s="714" t="s">
        <v>17</v>
      </c>
      <c r="S30" s="715">
        <f t="shared" si="12"/>
        <v>100</v>
      </c>
      <c r="T30" s="714" t="s">
        <v>17</v>
      </c>
      <c r="U30" s="715">
        <f t="shared" si="13"/>
        <v>100</v>
      </c>
      <c r="V30" s="714" t="s">
        <v>17</v>
      </c>
      <c r="W30" s="715">
        <f t="shared" si="14"/>
        <v>100</v>
      </c>
      <c r="X30" s="1539"/>
      <c r="Y30" s="3308"/>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08"/>
      <c r="Q31" s="1527" t="str">
        <f t="shared" si="11"/>
        <v>停车位面积</v>
      </c>
      <c r="R31" s="710" t="s">
        <v>17</v>
      </c>
      <c r="S31" s="711" t="e">
        <f t="shared" si="12"/>
        <v>#N/A</v>
      </c>
      <c r="T31" s="710" t="s">
        <v>17</v>
      </c>
      <c r="U31" s="711" t="e">
        <f t="shared" si="13"/>
        <v>#N/A</v>
      </c>
      <c r="V31" s="710" t="s">
        <v>17</v>
      </c>
      <c r="W31" s="711" t="e">
        <f t="shared" si="14"/>
        <v>#N/A</v>
      </c>
      <c r="X31" s="712"/>
      <c r="Y31" s="3308"/>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08" t="s">
        <v>2386</v>
      </c>
      <c r="Q32" s="1536" t="str">
        <f t="shared" si="11"/>
        <v>车位类型</v>
      </c>
      <c r="R32" s="714" t="s">
        <v>17</v>
      </c>
      <c r="S32" s="715">
        <f t="shared" si="12"/>
        <v>100</v>
      </c>
      <c r="T32" s="714" t="s">
        <v>17</v>
      </c>
      <c r="U32" s="715">
        <f t="shared" si="13"/>
        <v>100</v>
      </c>
      <c r="V32" s="714" t="s">
        <v>17</v>
      </c>
      <c r="W32" s="715">
        <f t="shared" si="14"/>
        <v>100</v>
      </c>
      <c r="X32" s="1539"/>
      <c r="Y32" s="3308"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08"/>
      <c r="Q33" s="1536" t="str">
        <f t="shared" si="11"/>
        <v>是否直接入户</v>
      </c>
      <c r="R33" s="714" t="s">
        <v>17</v>
      </c>
      <c r="S33" s="715">
        <f t="shared" si="12"/>
        <v>100</v>
      </c>
      <c r="T33" s="714" t="s">
        <v>17</v>
      </c>
      <c r="U33" s="715">
        <f t="shared" si="13"/>
        <v>100</v>
      </c>
      <c r="V33" s="714" t="s">
        <v>17</v>
      </c>
      <c r="W33" s="715">
        <f t="shared" si="14"/>
        <v>100</v>
      </c>
      <c r="X33" s="1539"/>
      <c r="Y33" s="330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08"/>
      <c r="Q34" s="1536">
        <f t="shared" si="11"/>
        <v>111</v>
      </c>
      <c r="R34" s="714" t="s">
        <v>17</v>
      </c>
      <c r="S34" s="715">
        <f t="shared" si="12"/>
        <v>100</v>
      </c>
      <c r="T34" s="714" t="s">
        <v>17</v>
      </c>
      <c r="U34" s="715">
        <f t="shared" si="13"/>
        <v>100</v>
      </c>
      <c r="V34" s="714" t="s">
        <v>17</v>
      </c>
      <c r="W34" s="715">
        <f t="shared" si="14"/>
        <v>100</v>
      </c>
      <c r="X34" s="1539"/>
      <c r="Y34" s="330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08"/>
      <c r="Q35" s="716">
        <f t="shared" si="11"/>
        <v>111</v>
      </c>
      <c r="R35" s="717" t="s">
        <v>17</v>
      </c>
      <c r="S35" s="718">
        <f t="shared" si="12"/>
        <v>100</v>
      </c>
      <c r="T35" s="717" t="s">
        <v>17</v>
      </c>
      <c r="U35" s="718">
        <f t="shared" si="13"/>
        <v>100</v>
      </c>
      <c r="V35" s="717" t="s">
        <v>17</v>
      </c>
      <c r="W35" s="718">
        <f t="shared" si="14"/>
        <v>100</v>
      </c>
      <c r="X35" s="719"/>
      <c r="Y35" s="3308"/>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08"/>
      <c r="Q36" s="1536">
        <f t="shared" si="11"/>
        <v>111</v>
      </c>
      <c r="R36" s="714" t="s">
        <v>17</v>
      </c>
      <c r="S36" s="715">
        <f t="shared" si="12"/>
        <v>100</v>
      </c>
      <c r="T36" s="714" t="s">
        <v>17</v>
      </c>
      <c r="U36" s="715">
        <f t="shared" si="13"/>
        <v>100</v>
      </c>
      <c r="V36" s="714" t="s">
        <v>17</v>
      </c>
      <c r="W36" s="715">
        <f t="shared" si="14"/>
        <v>100</v>
      </c>
      <c r="X36" s="1539"/>
      <c r="Y36" s="3308"/>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290" t="str">
        <f>A37</f>
        <v>成交单价</v>
      </c>
      <c r="Q37" s="3290"/>
      <c r="R37" s="3310">
        <f>E37</f>
        <v>0</v>
      </c>
      <c r="S37" s="3310"/>
      <c r="T37" s="3310">
        <f>G37</f>
        <v>0</v>
      </c>
      <c r="U37" s="3310"/>
      <c r="V37" s="3310">
        <f>I37</f>
        <v>0</v>
      </c>
      <c r="W37" s="3310"/>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290" t="str">
        <f>A38</f>
        <v>比较价值（元/平方米）</v>
      </c>
      <c r="Q38" s="3290"/>
      <c r="R38" s="3310" t="e">
        <f>IF(F1="售价",ROUND(PRODUCT(R37,AA7:AA36),0),ROUND(PRODUCT(R37,AA7:AA36),1))</f>
        <v>#DIV/0!</v>
      </c>
      <c r="S38" s="3310"/>
      <c r="T38" s="3310" t="e">
        <f>IF(F1="售价",ROUND(PRODUCT(T37,AB7:AB36),0),ROUND(PRODUCT(T37,AB7:AB36),1))</f>
        <v>#DIV/0!</v>
      </c>
      <c r="U38" s="3310"/>
      <c r="V38" s="3310" t="e">
        <f>IF(F1="售价",ROUND(PRODUCT(V37,AC7:AC36),0),ROUND(PRODUCT(V37,AC7:AC36),1))</f>
        <v>#DIV/0!</v>
      </c>
      <c r="W38" s="3310"/>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1" t="str">
        <f>A39</f>
        <v>估价对象XX用房的比较价值（楼面单价，元/平方米）</v>
      </c>
      <c r="Q39" s="3312"/>
      <c r="R39" s="3314" t="e">
        <f>IF(F1="售价",ROUND(IF(D38="简单平均",AVERAGE(R38:W38),R38*F38+T38*H38+V38*J38),0),ROUND(IF(D38="简单平均",AVERAGE(R38:V38),R38*F38+T38*H38+V38*J38),1))</f>
        <v>#DIV/0!</v>
      </c>
      <c r="S39" s="3314"/>
      <c r="T39" s="3314"/>
      <c r="U39" s="3314"/>
      <c r="V39" s="3314"/>
      <c r="W39" s="3314"/>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91" t="s">
        <v>2467</v>
      </c>
      <c r="D4" s="3292"/>
      <c r="E4" s="3293" t="s">
        <v>2468</v>
      </c>
      <c r="F4" s="3294"/>
      <c r="G4" s="3291" t="s">
        <v>2469</v>
      </c>
      <c r="H4" s="3292"/>
      <c r="I4" s="3291" t="s">
        <v>2470</v>
      </c>
      <c r="J4" s="3292"/>
      <c r="K4" s="567" t="s">
        <v>2471</v>
      </c>
      <c r="L4" s="2944"/>
      <c r="M4" s="2945"/>
      <c r="N4" s="2945"/>
      <c r="O4" s="2945"/>
      <c r="P4" s="3295" t="s">
        <v>2472</v>
      </c>
      <c r="Q4" s="3296"/>
      <c r="R4" s="3278" t="s">
        <v>2468</v>
      </c>
      <c r="S4" s="3279"/>
      <c r="T4" s="3278" t="s">
        <v>2469</v>
      </c>
      <c r="U4" s="3279"/>
      <c r="V4" s="3303" t="s">
        <v>2470</v>
      </c>
      <c r="W4" s="3303"/>
      <c r="X4" s="1539"/>
      <c r="Y4" s="3278" t="s">
        <v>2472</v>
      </c>
      <c r="Z4" s="3279"/>
      <c r="AA4" s="3273" t="s">
        <v>2468</v>
      </c>
      <c r="AB4" s="3274" t="s">
        <v>2469</v>
      </c>
      <c r="AC4" s="3273" t="s">
        <v>2470</v>
      </c>
    </row>
    <row r="5" spans="1:30" ht="15">
      <c r="A5" s="364"/>
      <c r="B5" s="365"/>
      <c r="C5" s="3284" t="s">
        <v>2363</v>
      </c>
      <c r="D5" s="3285"/>
      <c r="E5" s="3282" t="s">
        <v>2364</v>
      </c>
      <c r="F5" s="3283"/>
      <c r="G5" s="3284" t="s">
        <v>2365</v>
      </c>
      <c r="H5" s="3285"/>
      <c r="I5" s="3284" t="s">
        <v>2366</v>
      </c>
      <c r="J5" s="3285"/>
      <c r="K5" s="567"/>
      <c r="L5" s="2944"/>
      <c r="M5" s="2945"/>
      <c r="N5" s="2945"/>
      <c r="O5" s="2945"/>
      <c r="P5" s="3297"/>
      <c r="Q5" s="3298"/>
      <c r="R5" s="3280"/>
      <c r="S5" s="3281"/>
      <c r="T5" s="3280"/>
      <c r="U5" s="3281"/>
      <c r="V5" s="3303"/>
      <c r="W5" s="3303"/>
      <c r="X5" s="1539"/>
      <c r="Y5" s="3280"/>
      <c r="Z5" s="3281"/>
      <c r="AA5" s="3274"/>
      <c r="AB5" s="3274"/>
      <c r="AC5" s="3274"/>
    </row>
    <row r="6" spans="1:30" ht="15.75" thickBot="1">
      <c r="A6" s="366"/>
      <c r="B6" s="367"/>
      <c r="C6" s="3286" t="s">
        <v>2367</v>
      </c>
      <c r="D6" s="3287"/>
      <c r="E6" s="3288" t="s">
        <v>2367</v>
      </c>
      <c r="F6" s="3289"/>
      <c r="G6" s="3286" t="s">
        <v>2367</v>
      </c>
      <c r="H6" s="3287"/>
      <c r="I6" s="3286" t="s">
        <v>2367</v>
      </c>
      <c r="J6" s="3287"/>
      <c r="K6" s="567" t="s">
        <v>2368</v>
      </c>
      <c r="L6" s="2944"/>
      <c r="M6" s="2945"/>
      <c r="N6" s="2945"/>
      <c r="O6" s="2945"/>
      <c r="P6" s="3299"/>
      <c r="Q6" s="3300"/>
      <c r="R6" s="3280"/>
      <c r="S6" s="3281"/>
      <c r="T6" s="3301"/>
      <c r="U6" s="3302"/>
      <c r="V6" s="3303"/>
      <c r="W6" s="3303"/>
      <c r="X6" s="1539"/>
      <c r="Y6" s="3301"/>
      <c r="Z6" s="3302"/>
      <c r="AA6" s="3275"/>
      <c r="AB6" s="3275"/>
      <c r="AC6" s="3275"/>
    </row>
    <row r="7" spans="1:30" s="113" customFormat="1" ht="15.75" thickBot="1">
      <c r="A7" s="368" t="s">
        <v>2369</v>
      </c>
      <c r="B7" s="369"/>
      <c r="C7" s="370">
        <f>'数据-取费表'!B2</f>
        <v>44512</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76" t="s">
        <v>2370</v>
      </c>
      <c r="Q7" s="3304"/>
      <c r="R7" s="710" t="s">
        <v>17</v>
      </c>
      <c r="S7" s="711">
        <f t="shared" ref="S7:S15" si="0">F7</f>
        <v>0</v>
      </c>
      <c r="T7" s="710" t="s">
        <v>17</v>
      </c>
      <c r="U7" s="711">
        <f t="shared" ref="U7:U15" si="1">H7</f>
        <v>0</v>
      </c>
      <c r="V7" s="710" t="s">
        <v>17</v>
      </c>
      <c r="W7" s="711">
        <f t="shared" ref="W7:W15" si="2">J7</f>
        <v>0</v>
      </c>
      <c r="X7" s="712"/>
      <c r="Y7" s="3276" t="s">
        <v>2370</v>
      </c>
      <c r="Z7" s="327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76" t="s">
        <v>2373</v>
      </c>
      <c r="Q8" s="3277"/>
      <c r="R8" s="710" t="s">
        <v>17</v>
      </c>
      <c r="S8" s="711">
        <f t="shared" si="0"/>
        <v>0</v>
      </c>
      <c r="T8" s="710" t="s">
        <v>17</v>
      </c>
      <c r="U8" s="711">
        <f t="shared" si="1"/>
        <v>0</v>
      </c>
      <c r="V8" s="710" t="s">
        <v>17</v>
      </c>
      <c r="W8" s="711">
        <f t="shared" si="2"/>
        <v>0</v>
      </c>
      <c r="X8" s="712"/>
      <c r="Y8" s="3276" t="s">
        <v>2373</v>
      </c>
      <c r="Z8" s="327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90"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48"/>
      <c r="M10" s="2949"/>
      <c r="N10" s="2949"/>
      <c r="O10" s="3002"/>
      <c r="P10" s="3290"/>
      <c r="Q10" s="1527" t="str">
        <f t="shared" si="6"/>
        <v>土地使用年限（年）</v>
      </c>
      <c r="R10" s="710" t="s">
        <v>17</v>
      </c>
      <c r="S10" s="711">
        <f t="shared" si="0"/>
        <v>112</v>
      </c>
      <c r="T10" s="710" t="s">
        <v>17</v>
      </c>
      <c r="U10" s="711">
        <f t="shared" si="1"/>
        <v>112</v>
      </c>
      <c r="V10" s="710" t="s">
        <v>17</v>
      </c>
      <c r="W10" s="711">
        <f t="shared" si="2"/>
        <v>112</v>
      </c>
      <c r="X10" s="712"/>
      <c r="Y10" s="3249"/>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90"/>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90"/>
      <c r="Q12" s="1527" t="str">
        <f t="shared" si="6"/>
        <v>配建</v>
      </c>
      <c r="R12" s="710" t="s">
        <v>17</v>
      </c>
      <c r="S12" s="711">
        <f t="shared" si="0"/>
        <v>100</v>
      </c>
      <c r="T12" s="710" t="s">
        <v>17</v>
      </c>
      <c r="U12" s="711">
        <f t="shared" si="1"/>
        <v>100</v>
      </c>
      <c r="V12" s="710" t="s">
        <v>17</v>
      </c>
      <c r="W12" s="711">
        <f t="shared" si="2"/>
        <v>100</v>
      </c>
      <c r="X12" s="712"/>
      <c r="Y12" s="324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90"/>
      <c r="Q13" s="1527">
        <f t="shared" si="6"/>
        <v>111</v>
      </c>
      <c r="R13" s="710" t="s">
        <v>17</v>
      </c>
      <c r="S13" s="711">
        <f t="shared" si="0"/>
        <v>100</v>
      </c>
      <c r="T13" s="710" t="s">
        <v>17</v>
      </c>
      <c r="U13" s="711">
        <f t="shared" si="1"/>
        <v>100</v>
      </c>
      <c r="V13" s="710" t="s">
        <v>17</v>
      </c>
      <c r="W13" s="711">
        <f t="shared" si="2"/>
        <v>100</v>
      </c>
      <c r="X13" s="712"/>
      <c r="Y13" s="324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90"/>
      <c r="Q14" s="1527">
        <f t="shared" si="6"/>
        <v>111</v>
      </c>
      <c r="R14" s="710" t="s">
        <v>17</v>
      </c>
      <c r="S14" s="711">
        <f t="shared" si="0"/>
        <v>100</v>
      </c>
      <c r="T14" s="710" t="s">
        <v>17</v>
      </c>
      <c r="U14" s="711">
        <f t="shared" si="1"/>
        <v>100</v>
      </c>
      <c r="V14" s="710" t="s">
        <v>17</v>
      </c>
      <c r="W14" s="711">
        <f t="shared" si="2"/>
        <v>100</v>
      </c>
      <c r="X14" s="712"/>
      <c r="Y14" s="3249"/>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05" t="s">
        <v>2381</v>
      </c>
      <c r="Q15" s="1536" t="str">
        <f t="shared" si="6"/>
        <v>居住社区成熟度</v>
      </c>
      <c r="R15" s="714" t="s">
        <v>17</v>
      </c>
      <c r="S15" s="715">
        <f t="shared" si="0"/>
        <v>100</v>
      </c>
      <c r="T15" s="714" t="s">
        <v>17</v>
      </c>
      <c r="U15" s="715">
        <f t="shared" si="1"/>
        <v>100</v>
      </c>
      <c r="V15" s="714" t="s">
        <v>17</v>
      </c>
      <c r="W15" s="715">
        <f t="shared" si="2"/>
        <v>100</v>
      </c>
      <c r="X15" s="1539"/>
      <c r="Y15" s="3305"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06"/>
      <c r="Q16" s="1536"/>
      <c r="R16" s="714"/>
      <c r="S16" s="715"/>
      <c r="T16" s="714"/>
      <c r="U16" s="715"/>
      <c r="V16" s="714"/>
      <c r="W16" s="715"/>
      <c r="X16" s="1539"/>
      <c r="Y16" s="3306"/>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06"/>
      <c r="Q17" s="1536" t="str">
        <f>B17</f>
        <v>商业繁华度</v>
      </c>
      <c r="R17" s="714" t="s">
        <v>17</v>
      </c>
      <c r="S17" s="715">
        <f>F17</f>
        <v>100</v>
      </c>
      <c r="T17" s="714" t="s">
        <v>17</v>
      </c>
      <c r="U17" s="715">
        <f>H17</f>
        <v>100</v>
      </c>
      <c r="V17" s="714" t="s">
        <v>17</v>
      </c>
      <c r="W17" s="715">
        <f>J17</f>
        <v>100</v>
      </c>
      <c r="X17" s="1539"/>
      <c r="Y17" s="330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06"/>
      <c r="Q18" s="1536"/>
      <c r="R18" s="714"/>
      <c r="S18" s="715"/>
      <c r="T18" s="714"/>
      <c r="U18" s="715"/>
      <c r="V18" s="714"/>
      <c r="W18" s="715"/>
      <c r="X18" s="1539"/>
      <c r="Y18" s="3306"/>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06"/>
      <c r="Q19" s="1536" t="str">
        <f>B19</f>
        <v>办公集聚程度</v>
      </c>
      <c r="R19" s="714" t="s">
        <v>17</v>
      </c>
      <c r="S19" s="715">
        <f>F19</f>
        <v>100</v>
      </c>
      <c r="T19" s="714" t="s">
        <v>17</v>
      </c>
      <c r="U19" s="715">
        <f>H19</f>
        <v>100</v>
      </c>
      <c r="V19" s="714" t="s">
        <v>17</v>
      </c>
      <c r="W19" s="715">
        <f>J19</f>
        <v>100</v>
      </c>
      <c r="X19" s="1539"/>
      <c r="Y19" s="330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06"/>
      <c r="Q20" s="1536"/>
      <c r="R20" s="714"/>
      <c r="S20" s="715"/>
      <c r="T20" s="714"/>
      <c r="U20" s="715"/>
      <c r="V20" s="714"/>
      <c r="W20" s="715"/>
      <c r="X20" s="1539"/>
      <c r="Y20" s="3306"/>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06"/>
      <c r="Q21" s="1536" t="str">
        <f>B21</f>
        <v>交通便捷度</v>
      </c>
      <c r="R21" s="714" t="s">
        <v>17</v>
      </c>
      <c r="S21" s="715">
        <f>F21</f>
        <v>100</v>
      </c>
      <c r="T21" s="714" t="s">
        <v>17</v>
      </c>
      <c r="U21" s="715">
        <f>H21</f>
        <v>100</v>
      </c>
      <c r="V21" s="714" t="s">
        <v>17</v>
      </c>
      <c r="W21" s="715">
        <f>J21</f>
        <v>100</v>
      </c>
      <c r="X21" s="1539"/>
      <c r="Y21" s="330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06"/>
      <c r="Q22" s="1536"/>
      <c r="R22" s="714"/>
      <c r="S22" s="715"/>
      <c r="T22" s="714"/>
      <c r="U22" s="715"/>
      <c r="V22" s="714"/>
      <c r="W22" s="715"/>
      <c r="X22" s="1539"/>
      <c r="Y22" s="3306"/>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06"/>
      <c r="Q23" s="1536" t="str">
        <f t="shared" ref="Q23:Q37" si="8">B23</f>
        <v>区域土地利用方向</v>
      </c>
      <c r="R23" s="714" t="s">
        <v>17</v>
      </c>
      <c r="S23" s="715">
        <f>F23</f>
        <v>100</v>
      </c>
      <c r="T23" s="714" t="s">
        <v>17</v>
      </c>
      <c r="U23" s="715">
        <f>H23</f>
        <v>100</v>
      </c>
      <c r="V23" s="714" t="s">
        <v>17</v>
      </c>
      <c r="W23" s="715">
        <f>J23</f>
        <v>100</v>
      </c>
      <c r="X23" s="1539"/>
      <c r="Y23" s="330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06"/>
      <c r="Q24" s="1536"/>
      <c r="R24" s="714"/>
      <c r="S24" s="715"/>
      <c r="T24" s="714"/>
      <c r="U24" s="715"/>
      <c r="V24" s="714"/>
      <c r="W24" s="715"/>
      <c r="X24" s="1539"/>
      <c r="Y24" s="3306"/>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06"/>
      <c r="Q25" s="1536" t="str">
        <f t="shared" si="8"/>
        <v>自然及人文环境状况</v>
      </c>
      <c r="R25" s="714" t="s">
        <v>17</v>
      </c>
      <c r="S25" s="715">
        <f>F25</f>
        <v>100</v>
      </c>
      <c r="T25" s="714" t="s">
        <v>17</v>
      </c>
      <c r="U25" s="715">
        <f>H25</f>
        <v>100</v>
      </c>
      <c r="V25" s="714" t="s">
        <v>17</v>
      </c>
      <c r="W25" s="715">
        <f>J25</f>
        <v>100</v>
      </c>
      <c r="X25" s="1539"/>
      <c r="Y25" s="330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06"/>
      <c r="Q26" s="1536"/>
      <c r="R26" s="714"/>
      <c r="S26" s="715"/>
      <c r="T26" s="714"/>
      <c r="U26" s="715"/>
      <c r="V26" s="714"/>
      <c r="W26" s="715"/>
      <c r="X26" s="1539"/>
      <c r="Y26" s="3306"/>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06"/>
      <c r="Q27" s="1527" t="str">
        <f t="shared" si="8"/>
        <v>公共配套设施</v>
      </c>
      <c r="R27" s="710" t="s">
        <v>17</v>
      </c>
      <c r="S27" s="711">
        <f>F27</f>
        <v>100</v>
      </c>
      <c r="T27" s="710" t="s">
        <v>17</v>
      </c>
      <c r="U27" s="711">
        <f>H27</f>
        <v>100</v>
      </c>
      <c r="V27" s="710" t="s">
        <v>17</v>
      </c>
      <c r="W27" s="711">
        <f>J27</f>
        <v>100</v>
      </c>
      <c r="X27" s="712"/>
      <c r="Y27" s="330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06"/>
      <c r="Q28" s="1527"/>
      <c r="R28" s="710"/>
      <c r="S28" s="711"/>
      <c r="T28" s="710"/>
      <c r="U28" s="711"/>
      <c r="V28" s="710"/>
      <c r="W28" s="711"/>
      <c r="X28" s="712"/>
      <c r="Y28" s="3306"/>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06"/>
      <c r="Q29" s="1527" t="str">
        <f t="shared" ref="Q29" si="9">B29</f>
        <v>基础设施水平</v>
      </c>
      <c r="R29" s="710" t="s">
        <v>17</v>
      </c>
      <c r="S29" s="711">
        <f>F29</f>
        <v>100</v>
      </c>
      <c r="T29" s="710" t="s">
        <v>17</v>
      </c>
      <c r="U29" s="711">
        <f>H29</f>
        <v>100</v>
      </c>
      <c r="V29" s="710" t="s">
        <v>17</v>
      </c>
      <c r="W29" s="711">
        <f>J29</f>
        <v>100</v>
      </c>
      <c r="X29" s="712"/>
      <c r="Y29" s="330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06"/>
      <c r="Q30" s="1527"/>
      <c r="R30" s="710"/>
      <c r="S30" s="711"/>
      <c r="T30" s="710"/>
      <c r="U30" s="711"/>
      <c r="V30" s="710"/>
      <c r="W30" s="711"/>
      <c r="X30" s="712"/>
      <c r="Y30" s="3306"/>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0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06"/>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06"/>
      <c r="Q32" s="1536" t="str">
        <f t="shared" si="8"/>
        <v>毗邻道路的类型与等级</v>
      </c>
      <c r="R32" s="714" t="s">
        <v>17</v>
      </c>
      <c r="S32" s="715">
        <f t="shared" si="10"/>
        <v>100</v>
      </c>
      <c r="T32" s="714" t="s">
        <v>17</v>
      </c>
      <c r="U32" s="715">
        <f t="shared" si="11"/>
        <v>100</v>
      </c>
      <c r="V32" s="714" t="s">
        <v>17</v>
      </c>
      <c r="W32" s="715">
        <f t="shared" si="12"/>
        <v>100</v>
      </c>
      <c r="X32" s="1539"/>
      <c r="Y32" s="330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06"/>
      <c r="Q33" s="1536"/>
      <c r="R33" s="714"/>
      <c r="S33" s="715"/>
      <c r="T33" s="714"/>
      <c r="U33" s="715"/>
      <c r="V33" s="714"/>
      <c r="W33" s="715"/>
      <c r="X33" s="1539"/>
      <c r="Y33" s="3306"/>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06"/>
      <c r="Q34" s="1536" t="str">
        <f t="shared" si="8"/>
        <v>土地级别</v>
      </c>
      <c r="R34" s="714" t="s">
        <v>17</v>
      </c>
      <c r="S34" s="715">
        <f t="shared" si="10"/>
        <v>100</v>
      </c>
      <c r="T34" s="714" t="s">
        <v>17</v>
      </c>
      <c r="U34" s="715">
        <f t="shared" si="11"/>
        <v>100</v>
      </c>
      <c r="V34" s="714" t="s">
        <v>17</v>
      </c>
      <c r="W34" s="715">
        <f t="shared" si="12"/>
        <v>100</v>
      </c>
      <c r="X34" s="1539"/>
      <c r="Y34" s="330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06"/>
      <c r="Q35" s="1536">
        <f t="shared" si="8"/>
        <v>111</v>
      </c>
      <c r="R35" s="714" t="s">
        <v>17</v>
      </c>
      <c r="S35" s="715">
        <f t="shared" si="10"/>
        <v>100</v>
      </c>
      <c r="T35" s="714" t="s">
        <v>17</v>
      </c>
      <c r="U35" s="715">
        <f t="shared" si="11"/>
        <v>100</v>
      </c>
      <c r="V35" s="714" t="s">
        <v>17</v>
      </c>
      <c r="W35" s="715">
        <f t="shared" si="12"/>
        <v>100</v>
      </c>
      <c r="X35" s="1539"/>
      <c r="Y35" s="330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07" t="s">
        <v>2386</v>
      </c>
      <c r="Q36" s="1536">
        <f t="shared" si="8"/>
        <v>111</v>
      </c>
      <c r="R36" s="714" t="s">
        <v>17</v>
      </c>
      <c r="S36" s="715">
        <f t="shared" si="10"/>
        <v>100</v>
      </c>
      <c r="T36" s="714" t="s">
        <v>17</v>
      </c>
      <c r="U36" s="715">
        <f t="shared" si="11"/>
        <v>100</v>
      </c>
      <c r="V36" s="714" t="s">
        <v>17</v>
      </c>
      <c r="W36" s="715">
        <f t="shared" si="12"/>
        <v>100</v>
      </c>
      <c r="X36" s="1539"/>
      <c r="Y36" s="3308"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08"/>
      <c r="Q37" s="1536">
        <f t="shared" si="8"/>
        <v>111</v>
      </c>
      <c r="R37" s="717" t="s">
        <v>17</v>
      </c>
      <c r="S37" s="718">
        <f t="shared" si="10"/>
        <v>100</v>
      </c>
      <c r="T37" s="717" t="s">
        <v>17</v>
      </c>
      <c r="U37" s="718">
        <f t="shared" si="11"/>
        <v>100</v>
      </c>
      <c r="V37" s="717" t="s">
        <v>17</v>
      </c>
      <c r="W37" s="718">
        <f t="shared" si="12"/>
        <v>100</v>
      </c>
      <c r="X37" s="719"/>
      <c r="Y37" s="3308"/>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08"/>
      <c r="Q38" s="1536" t="str">
        <f>B38</f>
        <v>宗地面积</v>
      </c>
      <c r="R38" s="714" t="s">
        <v>17</v>
      </c>
      <c r="S38" s="715" t="e">
        <f t="shared" si="10"/>
        <v>#N/A</v>
      </c>
      <c r="T38" s="714" t="s">
        <v>17</v>
      </c>
      <c r="U38" s="715" t="e">
        <f t="shared" si="11"/>
        <v>#N/A</v>
      </c>
      <c r="V38" s="714" t="s">
        <v>17</v>
      </c>
      <c r="W38" s="715" t="e">
        <f t="shared" si="12"/>
        <v>#N/A</v>
      </c>
      <c r="X38" s="1539"/>
      <c r="Y38" s="3308"/>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08"/>
      <c r="Q39" s="1536" t="str">
        <f t="shared" ref="Q39:Q45" si="14">B39</f>
        <v>宗地形状</v>
      </c>
      <c r="R39" s="714" t="s">
        <v>17</v>
      </c>
      <c r="S39" s="715">
        <f t="shared" si="10"/>
        <v>100</v>
      </c>
      <c r="T39" s="714" t="s">
        <v>17</v>
      </c>
      <c r="U39" s="715">
        <f t="shared" si="11"/>
        <v>100</v>
      </c>
      <c r="V39" s="714" t="s">
        <v>17</v>
      </c>
      <c r="W39" s="715">
        <f t="shared" si="12"/>
        <v>100</v>
      </c>
      <c r="X39" s="1539"/>
      <c r="Y39" s="3308"/>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08"/>
      <c r="Q40" s="1536" t="str">
        <f t="shared" si="14"/>
        <v>临街宽度及深度</v>
      </c>
      <c r="R40" s="714" t="s">
        <v>17</v>
      </c>
      <c r="S40" s="715">
        <f t="shared" si="10"/>
        <v>100</v>
      </c>
      <c r="T40" s="714" t="s">
        <v>17</v>
      </c>
      <c r="U40" s="715">
        <f t="shared" si="11"/>
        <v>100</v>
      </c>
      <c r="V40" s="714" t="s">
        <v>17</v>
      </c>
      <c r="W40" s="715">
        <f t="shared" si="12"/>
        <v>100</v>
      </c>
      <c r="X40" s="1539"/>
      <c r="Y40" s="3308"/>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08"/>
      <c r="Q41" s="1536" t="str">
        <f t="shared" si="14"/>
        <v>宗地开发程度</v>
      </c>
      <c r="R41" s="710" t="s">
        <v>17</v>
      </c>
      <c r="S41" s="711">
        <f t="shared" si="10"/>
        <v>100</v>
      </c>
      <c r="T41" s="710" t="s">
        <v>17</v>
      </c>
      <c r="U41" s="711">
        <f t="shared" si="11"/>
        <v>100</v>
      </c>
      <c r="V41" s="710" t="s">
        <v>17</v>
      </c>
      <c r="W41" s="711">
        <f t="shared" si="12"/>
        <v>100</v>
      </c>
      <c r="X41" s="712"/>
      <c r="Y41" s="3308"/>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08" t="s">
        <v>2386</v>
      </c>
      <c r="Q42" s="1536" t="str">
        <f t="shared" si="14"/>
        <v>工程地质条件</v>
      </c>
      <c r="R42" s="714" t="s">
        <v>17</v>
      </c>
      <c r="S42" s="715">
        <f t="shared" si="10"/>
        <v>100</v>
      </c>
      <c r="T42" s="714" t="s">
        <v>17</v>
      </c>
      <c r="U42" s="715">
        <f t="shared" si="11"/>
        <v>100</v>
      </c>
      <c r="V42" s="714" t="s">
        <v>17</v>
      </c>
      <c r="W42" s="715">
        <f t="shared" si="12"/>
        <v>100</v>
      </c>
      <c r="X42" s="1539"/>
      <c r="Y42" s="3308"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08"/>
      <c r="Q43" s="1536">
        <f t="shared" si="14"/>
        <v>111</v>
      </c>
      <c r="R43" s="714" t="s">
        <v>17</v>
      </c>
      <c r="S43" s="715">
        <f t="shared" si="10"/>
        <v>100</v>
      </c>
      <c r="T43" s="714" t="s">
        <v>17</v>
      </c>
      <c r="U43" s="715">
        <f t="shared" si="11"/>
        <v>100</v>
      </c>
      <c r="V43" s="714" t="s">
        <v>17</v>
      </c>
      <c r="W43" s="715">
        <f t="shared" si="12"/>
        <v>100</v>
      </c>
      <c r="X43" s="1539"/>
      <c r="Y43" s="3308"/>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08"/>
      <c r="Q44" s="1536">
        <f t="shared" si="14"/>
        <v>111</v>
      </c>
      <c r="R44" s="714" t="s">
        <v>17</v>
      </c>
      <c r="S44" s="715">
        <f t="shared" si="10"/>
        <v>100</v>
      </c>
      <c r="T44" s="714" t="s">
        <v>17</v>
      </c>
      <c r="U44" s="715">
        <f t="shared" si="11"/>
        <v>100</v>
      </c>
      <c r="V44" s="714" t="s">
        <v>17</v>
      </c>
      <c r="W44" s="715">
        <f t="shared" si="12"/>
        <v>100</v>
      </c>
      <c r="X44" s="1539"/>
      <c r="Y44" s="3308"/>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08"/>
      <c r="Q45" s="1536">
        <f t="shared" si="14"/>
        <v>111</v>
      </c>
      <c r="R45" s="717" t="s">
        <v>17</v>
      </c>
      <c r="S45" s="718">
        <f t="shared" si="10"/>
        <v>100</v>
      </c>
      <c r="T45" s="717" t="s">
        <v>17</v>
      </c>
      <c r="U45" s="718">
        <f t="shared" si="11"/>
        <v>100</v>
      </c>
      <c r="V45" s="717" t="s">
        <v>17</v>
      </c>
      <c r="W45" s="718">
        <f t="shared" si="12"/>
        <v>100</v>
      </c>
      <c r="X45" s="719"/>
      <c r="Y45" s="3308"/>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290" t="str">
        <f>A46</f>
        <v>成交单价</v>
      </c>
      <c r="Q46" s="3290"/>
      <c r="R46" s="3303">
        <f>E46</f>
        <v>0</v>
      </c>
      <c r="S46" s="3303"/>
      <c r="T46" s="3303">
        <f>G46</f>
        <v>0</v>
      </c>
      <c r="U46" s="3303"/>
      <c r="V46" s="3303">
        <f>I46</f>
        <v>0</v>
      </c>
      <c r="W46" s="3303"/>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290" t="str">
        <f>A47</f>
        <v>比较价值（元/平方米）</v>
      </c>
      <c r="Q47" s="3290"/>
      <c r="R47" s="3367" t="e">
        <f>ROUND(PRODUCT(R46,AA7:AA45),0)</f>
        <v>#DIV/0!</v>
      </c>
      <c r="S47" s="3367"/>
      <c r="T47" s="3367" t="e">
        <f>ROUND(PRODUCT(T46,AB7:AB45),0)</f>
        <v>#DIV/0!</v>
      </c>
      <c r="U47" s="3367"/>
      <c r="V47" s="3367" t="e">
        <f>ROUND(PRODUCT(V46,AC7:AC45),0)</f>
        <v>#DIV/0!</v>
      </c>
      <c r="W47" s="3367"/>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1" t="str">
        <f>A48</f>
        <v>估价对象XX用房的比较价值（楼面单价，元/平方米）</v>
      </c>
      <c r="Q48" s="3312"/>
      <c r="R48" s="3368" t="e">
        <f>ROUND(IF(D47="简单平均",AVERAGE(R47:W47),R47*F47+T47*H47+V47*J47),0)</f>
        <v>#DIV/0!</v>
      </c>
      <c r="S48" s="3368"/>
      <c r="T48" s="3368"/>
      <c r="U48" s="3368"/>
      <c r="V48" s="3368"/>
      <c r="W48" s="3368"/>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91" t="s">
        <v>2585</v>
      </c>
      <c r="H55" s="3369"/>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21395.8</v>
      </c>
      <c r="F56" s="1017" t="e">
        <f t="shared" ref="F56:F65" si="15">ROUND(B56*E56/10000,0)</f>
        <v>#DIV/0!</v>
      </c>
      <c r="G56" s="3346"/>
      <c r="H56" s="3290"/>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70"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70"/>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70"/>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70"/>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21395.8</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E26" sqref="E2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375" style="2184" bestFit="1" customWidth="1"/>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19294.02</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18553</v>
      </c>
      <c r="C2" s="2185" t="s">
        <v>2634</v>
      </c>
      <c r="D2" s="2186" t="s">
        <v>2635</v>
      </c>
      <c r="E2" s="2187" t="s">
        <v>6</v>
      </c>
      <c r="F2" s="2186" t="s">
        <v>2636</v>
      </c>
      <c r="G2" s="2188" t="str">
        <f>IF(E2="商业",项目基本情况!B37,IF(E2="办公",项目基本情况!C37,IF(E2="住宅",项目基本情况!D37,项目基本情况!E37)))</f>
        <v>六级</v>
      </c>
      <c r="H2" s="2186" t="s">
        <v>2637</v>
      </c>
      <c r="I2" s="2188" t="str">
        <f>IF(E2="商业",项目基本情况!B38,IF(E2="办公",项目基本情况!C38,IF(E2="住宅",项目基本情况!D38,项目基本情况!E38)))</f>
        <v>Ⅵ-兴1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6.8996000000000004</v>
      </c>
      <c r="T2" s="1374">
        <f>ROUND($C$5*$C$18*$C$19*$C$20*S2*$C$24,0)</f>
        <v>15568</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9616</v>
      </c>
      <c r="C3" s="2185" t="s">
        <v>2640</v>
      </c>
      <c r="D3" s="2186" t="s">
        <v>2641</v>
      </c>
      <c r="E3" s="2191" t="s">
        <v>3105</v>
      </c>
      <c r="F3" s="2192" t="s">
        <v>2642</v>
      </c>
      <c r="G3" s="855">
        <f>IF(F3="宗地容积率",'数据-汇总表'!I4,IF(F3="估价对象容积率",'数据-汇总表'!I6,'数据-汇总表'!I7))</f>
        <v>0.27</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4.9526000000000003</v>
      </c>
      <c r="T3" s="1374">
        <f t="shared" ref="T3:T16" si="0">ROUND($C$5*$C$18*$C$19*$C$20*S3*$C$24,0)</f>
        <v>11175</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90"/>
      <c r="B4" s="3391"/>
      <c r="C4" s="3391"/>
      <c r="D4" s="3392"/>
      <c r="E4" s="3392"/>
      <c r="F4" s="3392"/>
      <c r="G4" s="3392"/>
      <c r="H4" s="3392"/>
      <c r="I4" s="3392"/>
      <c r="J4" s="3393"/>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3.9956</v>
      </c>
      <c r="T4" s="1374">
        <f t="shared" si="0"/>
        <v>9015</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1658</v>
      </c>
      <c r="D5" s="1523">
        <f>ROUND(C6+C16,0)</f>
        <v>1658</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3.2059000000000002</v>
      </c>
      <c r="T5" s="1374">
        <f t="shared" si="0"/>
        <v>7234</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1700</v>
      </c>
      <c r="D6" s="2205" t="s">
        <v>2651</v>
      </c>
      <c r="E6" s="2206"/>
      <c r="F6" s="2206"/>
      <c r="G6" s="2207"/>
      <c r="H6" s="2207"/>
      <c r="I6" s="2207"/>
      <c r="J6" s="2208"/>
      <c r="K6" s="1568"/>
      <c r="L6" s="2190" t="s">
        <v>2652</v>
      </c>
      <c r="M6" s="995">
        <f>SUMPRODUCT((区片价!B110:B157=I2)*(区片价!C3:F3=E2)*(区片价!C110:F157))</f>
        <v>1700</v>
      </c>
      <c r="N6" s="997">
        <f>SUMPRODUCT((因素修正幅度!B110:B157=I2)*(因素修正幅度!C3:F3=E2)*(因素修正幅度!C110:F157))</f>
        <v>0.13</v>
      </c>
      <c r="O6" s="1280"/>
      <c r="P6" s="1280"/>
      <c r="Q6" s="1280"/>
      <c r="R6" s="1374">
        <v>5</v>
      </c>
      <c r="S6" s="1374">
        <f>ROUND(IF(G3&gt;1,IF(R6&lt;7,SUMPRODUCT((B93:B98=R6)*(C92:N92=G2)*(C93:N98)),SUMIF(C92:N92,G2,C100:N100)),IF(R6&lt;7,SUMPRODUCT((B102:B107=R6)*(C92:N92=G2)*(C102:N107)),SUMIF(C92:N92,G2,C109:N109))),4)</f>
        <v>2.73</v>
      </c>
      <c r="T6" s="1374">
        <f t="shared" si="0"/>
        <v>6160</v>
      </c>
      <c r="U6" s="1375"/>
      <c r="V6" s="1374">
        <f t="shared" si="1"/>
        <v>0</v>
      </c>
      <c r="W6" s="1378"/>
      <c r="X6" s="1378"/>
      <c r="Y6" s="1378"/>
      <c r="Z6" s="1378"/>
      <c r="AA6" s="1378"/>
      <c r="AB6" s="1378"/>
      <c r="AC6" s="2199"/>
      <c r="AD6" s="2200"/>
      <c r="AE6" s="2200"/>
      <c r="AF6" s="2200"/>
      <c r="AG6" s="2200"/>
      <c r="AH6" s="2200"/>
      <c r="AI6" s="2200"/>
      <c r="AJ6" s="2201"/>
    </row>
    <row r="7" spans="1:36" ht="24">
      <c r="A7" s="3371"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2.4007000000000001</v>
      </c>
      <c r="T7" s="1374">
        <f t="shared" si="0"/>
        <v>5417</v>
      </c>
      <c r="U7" s="1375"/>
      <c r="V7" s="1374">
        <f t="shared" si="1"/>
        <v>0</v>
      </c>
      <c r="W7" s="1542" t="s">
        <v>2656</v>
      </c>
      <c r="X7" s="1376" t="str">
        <f>G2</f>
        <v>六级</v>
      </c>
      <c r="Y7" s="1376" t="s">
        <v>2657</v>
      </c>
      <c r="Z7" s="1377">
        <f>G3</f>
        <v>0.27</v>
      </c>
      <c r="AA7" s="1378"/>
      <c r="AB7" s="1378"/>
      <c r="AC7" s="1379"/>
      <c r="AD7" s="1380"/>
      <c r="AE7" s="1380"/>
      <c r="AF7" s="1380"/>
      <c r="AG7" s="1380"/>
      <c r="AH7" s="1380"/>
      <c r="AI7" s="1380"/>
      <c r="AJ7" s="1381"/>
    </row>
    <row r="8" spans="1:36" ht="25.5">
      <c r="A8" s="3394"/>
      <c r="B8" s="175" t="s">
        <v>2658</v>
      </c>
      <c r="C8" s="2214" t="s">
        <v>3106</v>
      </c>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87" t="s">
        <v>2661</v>
      </c>
      <c r="X8" s="338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94"/>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89"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4"/>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8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4"/>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89" t="s">
        <v>2685</v>
      </c>
      <c r="X11" s="1386" t="s">
        <v>2686</v>
      </c>
      <c r="Y11" s="1387">
        <f>$G$3</f>
        <v>0.27</v>
      </c>
      <c r="Z11" s="1387">
        <f t="shared" ref="Z11:AJ11" si="3">$G$3</f>
        <v>0.27</v>
      </c>
      <c r="AA11" s="1387">
        <f t="shared" si="3"/>
        <v>0.27</v>
      </c>
      <c r="AB11" s="1387">
        <f t="shared" si="3"/>
        <v>0.27</v>
      </c>
      <c r="AC11" s="1387">
        <f t="shared" si="3"/>
        <v>0.27</v>
      </c>
      <c r="AD11" s="1387">
        <f t="shared" si="3"/>
        <v>0.27</v>
      </c>
      <c r="AE11" s="1387">
        <f t="shared" si="3"/>
        <v>0.27</v>
      </c>
      <c r="AF11" s="1387">
        <f t="shared" si="3"/>
        <v>0.27</v>
      </c>
      <c r="AG11" s="1387">
        <f t="shared" si="3"/>
        <v>0.27</v>
      </c>
      <c r="AH11" s="1387">
        <f t="shared" si="3"/>
        <v>0.27</v>
      </c>
      <c r="AI11" s="1387">
        <f t="shared" si="3"/>
        <v>0.27</v>
      </c>
      <c r="AJ11" s="1387">
        <f t="shared" si="3"/>
        <v>0.27</v>
      </c>
    </row>
    <row r="12" spans="1:36" ht="25.5" thickBot="1">
      <c r="A12" s="3371"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8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5"/>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89"/>
      <c r="X13" s="1388"/>
      <c r="Y13" s="1385">
        <f>(-0.163*(Y12^2)-0.59*Y12+7617)*(10^(-4))/Y11</f>
        <v>2.8211111111111111</v>
      </c>
      <c r="Z13" s="1385">
        <f t="shared" ref="Z13:AJ13" si="5">(-0.163*(Z12^2)-0.59*Z12+7617)*(10^(-4))/Z11</f>
        <v>2.8211111111111111</v>
      </c>
      <c r="AA13" s="1385">
        <f t="shared" si="5"/>
        <v>2.8211111111111111</v>
      </c>
      <c r="AB13" s="1385">
        <f t="shared" si="5"/>
        <v>2.8211111111111111</v>
      </c>
      <c r="AC13" s="1385">
        <f t="shared" si="5"/>
        <v>2.8211111111111111</v>
      </c>
      <c r="AD13" s="1385">
        <f t="shared" si="5"/>
        <v>2.8211111111111111</v>
      </c>
      <c r="AE13" s="1385">
        <f t="shared" si="5"/>
        <v>2.8211111111111111</v>
      </c>
      <c r="AF13" s="1385">
        <f t="shared" si="5"/>
        <v>2.8211111111111111</v>
      </c>
      <c r="AG13" s="1385">
        <f t="shared" si="5"/>
        <v>2.8211111111111111</v>
      </c>
      <c r="AH13" s="1385">
        <f t="shared" si="5"/>
        <v>2.8211111111111111</v>
      </c>
      <c r="AI13" s="1385">
        <f t="shared" si="5"/>
        <v>2.8211111111111111</v>
      </c>
      <c r="AJ13" s="1385">
        <f t="shared" si="5"/>
        <v>2.8211111111111111</v>
      </c>
    </row>
    <row r="14" spans="1:36" ht="15">
      <c r="A14" s="3395"/>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96"/>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71" t="s">
        <v>2704</v>
      </c>
      <c r="B16" s="2209" t="s">
        <v>2705</v>
      </c>
      <c r="C16" s="2371">
        <f>ROUND(IF(F17="与级别开发程度一致",0,(G17-E17)/C17),0)</f>
        <v>-42</v>
      </c>
      <c r="D16" s="3384" t="s">
        <v>2709</v>
      </c>
      <c r="E16" s="3385"/>
      <c r="F16" s="3384" t="s">
        <v>2706</v>
      </c>
      <c r="G16" s="3385"/>
      <c r="H16" s="2241" t="s">
        <v>3108</v>
      </c>
      <c r="I16" s="2241" t="s">
        <v>3109</v>
      </c>
      <c r="J16" s="2375" t="s">
        <v>3110</v>
      </c>
      <c r="K16" s="2241" t="s">
        <v>3111</v>
      </c>
      <c r="L16" s="2241" t="s">
        <v>3112</v>
      </c>
      <c r="M16" s="2241" t="s">
        <v>3114</v>
      </c>
      <c r="N16" s="2241"/>
      <c r="O16" s="2242" t="s">
        <v>3113</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72"/>
      <c r="B17" s="2382" t="s">
        <v>2708</v>
      </c>
      <c r="C17" s="2383">
        <f>SUMPRODUCT((修正!A2:A5=E2)*(修正!B1:M1=G2)*(修正!B2:M5))</f>
        <v>1.2</v>
      </c>
      <c r="D17" s="193" t="str">
        <f>IF(OR(G2="八级",G2="九级",G2="十级",G2="十一级",G2="十二级"),"五通一平","七通一平")</f>
        <v>七通一平</v>
      </c>
      <c r="E17" s="2372">
        <f>SUMPRODUCT((修正!B1:M1=G2)*(修正!B15:M15))</f>
        <v>300</v>
      </c>
      <c r="F17" s="2373" t="s">
        <v>3107</v>
      </c>
      <c r="G17" s="2374">
        <f>SUM(H17:O17)</f>
        <v>250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40</v>
      </c>
      <c r="N17" s="2383">
        <f>SUMPRODUCT((七通一平=N16)*(修正!B1:M1=G2)*(修正!B6:M14))</f>
        <v>0</v>
      </c>
      <c r="O17" s="2385">
        <f>SUMPRODUCT((七通一平=O16)*(修正!B1:M1=G2)*(修正!B6:M14))</f>
        <v>15</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2712</v>
      </c>
      <c r="C19" s="863">
        <f>ROUND(IF(H19="按公示增长率计算",SUMPRODUCT((地价!A3:A36=YEAR(G19)&amp;"-"&amp;ROUNDUP(MONTH(G19)/3,0))*(地价!X2:AB2=E2)*(地价!X3:AB36)),IF(H19="地价指数",M20/M19,(1+I19)^O19)),4)</f>
        <v>1.4529000000000001</v>
      </c>
      <c r="D19" s="2251" t="s">
        <v>2713</v>
      </c>
      <c r="E19" s="864">
        <v>41640</v>
      </c>
      <c r="F19" s="2251" t="s">
        <v>2714</v>
      </c>
      <c r="G19" s="865">
        <f>'数据-取费表'!B2</f>
        <v>44512</v>
      </c>
      <c r="H19" s="2252" t="s">
        <v>3115</v>
      </c>
      <c r="I19" s="866" t="str">
        <f>IF(H19="季度增幅（自定义）",SUMIF(N21:N24,E2,O21:O24),"")</f>
        <v/>
      </c>
      <c r="J19" s="2249"/>
      <c r="K19" s="1287"/>
      <c r="L19" s="2253" t="s">
        <v>2715</v>
      </c>
      <c r="M19" s="1496">
        <f>ROUND(SUMIF(地价!B2:F2,E2,地价!B36:F36),0)</f>
        <v>230</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f>ROUND(POWER(1+G20,J20-I20)*(POWER(1+G20,I20)-1)/(POWER(1+G20,J20)-1),4)</f>
        <v>0.89890000000000003</v>
      </c>
      <c r="D20" s="2258" t="s">
        <v>2718</v>
      </c>
      <c r="E20" s="1505">
        <f>存贷款利率!E18/100</f>
        <v>4.3499999999999997E-2</v>
      </c>
      <c r="F20" s="2258" t="s">
        <v>2710</v>
      </c>
      <c r="G20" s="873">
        <f>SUMIF(M26:P26,E2,M28:P28)</f>
        <v>4.8000000000000001E-2</v>
      </c>
      <c r="H20" s="2258" t="s">
        <v>2719</v>
      </c>
      <c r="I20" s="874">
        <f>SUMIF('数据-取费表'!C6:C15,E2,'数据-取费表'!F6:F15)/COUNTIF('数据-取费表'!C6:C15,E2)</f>
        <v>35.72</v>
      </c>
      <c r="J20" s="875">
        <f>IF(E2="住宅",70,IF(E2="商业",40,50))</f>
        <v>50</v>
      </c>
      <c r="K20" s="1287"/>
      <c r="L20" s="2259" t="s">
        <v>2720</v>
      </c>
      <c r="M20" s="1497">
        <f>ROUND(SUMPRODUCT((地价!A4:A36=YEAR(G19)&amp;"-"&amp;ROUNDUP(MONTH(G19)/3,0))*(地价!B2:F2=E2)*(地价!B4:F36)),0)</f>
        <v>334</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3116</v>
      </c>
      <c r="C21" s="876">
        <f>IF(B21="容积率修正",IF(G3&lt;=10,D22,J22),C23)</f>
        <v>4.2618999999999998</v>
      </c>
      <c r="D21" s="2265"/>
      <c r="E21" s="2265"/>
      <c r="F21" s="2265"/>
      <c r="G21" s="2265"/>
      <c r="H21" s="2265"/>
      <c r="I21" s="2265"/>
      <c r="J21" s="2266"/>
      <c r="K21" s="1287"/>
      <c r="L21" s="3019"/>
      <c r="M21" s="3019"/>
      <c r="N21" s="2267"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4.2618999999999998</v>
      </c>
      <c r="E22" s="855">
        <f>ROUNDDOWN(G3,1)</f>
        <v>0.2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855">
        <f>ROUNDUP(G3,1)</f>
        <v>0.30000000000000004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536" t="s">
        <v>155</v>
      </c>
      <c r="J22" s="877" t="str">
        <f>IF(G3&gt;10,D113,"——")</f>
        <v>——</v>
      </c>
      <c r="K22" s="1287"/>
      <c r="L22" s="3019"/>
      <c r="M22" s="3019"/>
      <c r="N22" s="2267"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1.042</v>
      </c>
      <c r="D24" s="2248"/>
      <c r="E24" s="2275"/>
      <c r="F24" s="2275"/>
      <c r="G24" s="2275"/>
      <c r="H24" s="2275"/>
      <c r="I24" s="2275"/>
      <c r="J24" s="2276"/>
      <c r="K24" s="1287"/>
      <c r="L24" s="3019"/>
      <c r="M24" s="3019"/>
      <c r="N24" s="2277"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18553</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9616</v>
      </c>
      <c r="D29" s="2296">
        <f>ROUND(清单!F5*'数据-汇总表'!I6,2)</f>
        <v>19294.02</v>
      </c>
      <c r="E29" s="879">
        <f>ROUND(C29*D29/10000,0)</f>
        <v>18553</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1442</v>
      </c>
      <c r="D30" s="2302"/>
      <c r="E30" s="879">
        <f>ROUND(C30*D30/10000,0)</f>
        <v>0</v>
      </c>
      <c r="F30" s="2303" t="s">
        <v>2745</v>
      </c>
      <c r="G30" s="2304"/>
      <c r="H30" s="2304"/>
      <c r="I30" s="2304"/>
      <c r="J30" s="2305"/>
      <c r="K30" s="1280"/>
      <c r="L30" s="1280">
        <f>E29/('数据-汇总表'!D3/666.7)</f>
        <v>157.00895878638389</v>
      </c>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1"/>
      <c r="B33" s="2312" t="s">
        <v>2750</v>
      </c>
      <c r="C33" s="180">
        <f>ROUND(D5*C19*C20*C24*F33,0)</f>
        <v>1579</v>
      </c>
      <c r="D33" s="2296"/>
      <c r="E33" s="176">
        <f>ROUND(C33*D33/10000,0)</f>
        <v>0</v>
      </c>
      <c r="F33" s="176">
        <f>SUMIF(修正!A45:A56,G2,修正!B45:B56)</f>
        <v>0.7</v>
      </c>
      <c r="G33" s="176">
        <f t="shared" ref="G33" si="6">ROUND(IF(E2="工业",C33*$M$39,C33*$M$38),0)</f>
        <v>237</v>
      </c>
      <c r="H33" s="176">
        <f>D33</f>
        <v>0</v>
      </c>
      <c r="I33" s="176">
        <f>ROUND(G33*H33/10000,0)</f>
        <v>0</v>
      </c>
      <c r="J33" s="3386"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2"/>
      <c r="B34" s="2229" t="s">
        <v>2751</v>
      </c>
      <c r="C34" s="180">
        <f>ROUND(D5*C19*C20*C24*F34,0)</f>
        <v>903</v>
      </c>
      <c r="D34" s="2296"/>
      <c r="E34" s="176">
        <f t="shared" ref="E34:E39" si="7">ROUND(C34*D34/10000,0)</f>
        <v>0</v>
      </c>
      <c r="F34" s="176">
        <f>SUMIF(修正!A45:A56,G2,修正!C45:C56)</f>
        <v>0.4</v>
      </c>
      <c r="G34" s="176">
        <f>ROUND(IF(E2="工业",C34*$M$39,C34*$M$38),0)</f>
        <v>135</v>
      </c>
      <c r="H34" s="176">
        <f t="shared" ref="H34:H39" si="8">D34</f>
        <v>0</v>
      </c>
      <c r="I34" s="176">
        <f t="shared" ref="I34:I39" si="9">ROUND(G34*H34/10000,0)</f>
        <v>0</v>
      </c>
      <c r="J34" s="33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2"/>
      <c r="B35" s="2229" t="s">
        <v>2752</v>
      </c>
      <c r="C35" s="180">
        <f>ROUND(D5*C19*C20*C24*F35,0)</f>
        <v>632</v>
      </c>
      <c r="D35" s="2296"/>
      <c r="E35" s="176">
        <f t="shared" si="7"/>
        <v>0</v>
      </c>
      <c r="F35" s="176">
        <f>SUMIF(修正!A45:A56,G2,修正!D45:D56)</f>
        <v>0.28000000000000003</v>
      </c>
      <c r="G35" s="176">
        <f>ROUND(IF(E2="工业",C35*$M$39,C35*$M$38),0)</f>
        <v>95</v>
      </c>
      <c r="H35" s="176">
        <f t="shared" si="8"/>
        <v>0</v>
      </c>
      <c r="I35" s="176">
        <f t="shared" si="9"/>
        <v>0</v>
      </c>
      <c r="J35" s="33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3"/>
      <c r="B36" s="2229" t="s">
        <v>2753</v>
      </c>
      <c r="C36" s="180">
        <f>ROUND(D5*C19*C20*C24*F36,0)</f>
        <v>564</v>
      </c>
      <c r="D36" s="2296"/>
      <c r="E36" s="176">
        <f t="shared" si="7"/>
        <v>0</v>
      </c>
      <c r="F36" s="176">
        <f>SUMIF(修正!A45:A56,G2,修正!E45:E56)</f>
        <v>0.25</v>
      </c>
      <c r="G36" s="176">
        <f>ROUND(IF(E2="工业",C36*$M$39,C36*$M$38),0)</f>
        <v>85</v>
      </c>
      <c r="H36" s="176">
        <f t="shared" si="8"/>
        <v>0</v>
      </c>
      <c r="I36" s="176">
        <f t="shared" si="9"/>
        <v>0</v>
      </c>
      <c r="J36" s="338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564</v>
      </c>
      <c r="D37" s="2296"/>
      <c r="E37" s="176">
        <f t="shared" si="7"/>
        <v>0</v>
      </c>
      <c r="F37" s="180">
        <f>SUMIF(修正!A45:A56,G2,修正!F45:F56)</f>
        <v>0.25</v>
      </c>
      <c r="G37" s="176">
        <f>ROUND(IF(E2="工业",C37*$M$39,C37*$M$38),0)</f>
        <v>85</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4.8000000000000001E-2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1.042</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t="s">
        <v>3117</v>
      </c>
      <c r="D81" s="1196">
        <f t="shared" ref="D81:D88" si="25">SUMIF($J$80:$N$80,C81,J81:N81)</f>
        <v>0</v>
      </c>
      <c r="E81" s="760">
        <f>ROUND(SUM(D81:D88),4)</f>
        <v>4.2000000000000003E-2</v>
      </c>
      <c r="F81" s="2000">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t="s">
        <v>3118</v>
      </c>
      <c r="D82" s="1196">
        <f t="shared" si="25"/>
        <v>2.1399999999999999E-2</v>
      </c>
      <c r="E82" s="765"/>
      <c r="F82" s="2000"/>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4"/>
      <c r="AA82" s="2250"/>
      <c r="AG82" s="1282"/>
      <c r="AK82" s="2250"/>
    </row>
    <row r="83" spans="1:37" ht="24">
      <c r="A83" s="2329" t="s">
        <v>2771</v>
      </c>
      <c r="B83" s="2333">
        <f>估价对象房地状况!G17</f>
        <v>0</v>
      </c>
      <c r="C83" s="2234" t="s">
        <v>3118</v>
      </c>
      <c r="D83" s="1196">
        <f t="shared" si="25"/>
        <v>3.2000000000000002E-3</v>
      </c>
      <c r="E83" s="765"/>
      <c r="F83" s="2000"/>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4"/>
      <c r="AA83" s="2250"/>
      <c r="AG83" s="1282"/>
      <c r="AK83" s="2250"/>
    </row>
    <row r="84" spans="1:37" ht="14.25">
      <c r="A84" s="2329" t="s">
        <v>2785</v>
      </c>
      <c r="B84" s="2333">
        <f>估价对象房地状况!G22</f>
        <v>0</v>
      </c>
      <c r="C84" s="2234" t="s">
        <v>3119</v>
      </c>
      <c r="D84" s="1196">
        <f t="shared" si="25"/>
        <v>-5.1999999999999998E-3</v>
      </c>
      <c r="E84" s="765"/>
      <c r="F84" s="2000"/>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4"/>
      <c r="AA84" s="2250"/>
      <c r="AG84" s="1282"/>
      <c r="AK84" s="2250"/>
    </row>
    <row r="85" spans="1:37" ht="25.5">
      <c r="A85" s="2329" t="s">
        <v>2777</v>
      </c>
      <c r="B85" s="1494" t="str">
        <f>估价对象房地状况!G19</f>
        <v>估价对象所在区域公共配套设施齐备情况</v>
      </c>
      <c r="C85" s="2234" t="s">
        <v>3117</v>
      </c>
      <c r="D85" s="1196">
        <f t="shared" si="25"/>
        <v>0</v>
      </c>
      <c r="E85" s="765"/>
      <c r="F85" s="2000"/>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4"/>
      <c r="AA85" s="2250"/>
      <c r="AG85" s="1282"/>
      <c r="AK85" s="2250"/>
    </row>
    <row r="86" spans="1:37" ht="25.5">
      <c r="A86" s="2329" t="s">
        <v>2778</v>
      </c>
      <c r="B86" s="1494" t="str">
        <f>估价对象房地状况!G20</f>
        <v>估价对象所在区域基础设施水平</v>
      </c>
      <c r="C86" s="2234" t="s">
        <v>3120</v>
      </c>
      <c r="D86" s="1196">
        <f t="shared" si="25"/>
        <v>1.9400000000000001E-2</v>
      </c>
      <c r="E86" s="765"/>
      <c r="F86" s="2000"/>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4"/>
      <c r="AA86" s="2250"/>
      <c r="AG86" s="1282"/>
      <c r="AK86" s="2250"/>
    </row>
    <row r="87" spans="1:37" ht="24">
      <c r="A87" s="2329" t="s">
        <v>2775</v>
      </c>
      <c r="B87" s="2335" t="s">
        <v>2789</v>
      </c>
      <c r="C87" s="2234" t="s">
        <v>3118</v>
      </c>
      <c r="D87" s="1196">
        <f t="shared" si="25"/>
        <v>3.2000000000000002E-3</v>
      </c>
      <c r="E87" s="765"/>
      <c r="F87" s="2000"/>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4"/>
      <c r="AA87" s="2250"/>
      <c r="AG87" s="1282"/>
      <c r="AK87" s="2250"/>
    </row>
    <row r="88" spans="1:37" ht="39" thickBot="1">
      <c r="A88" s="2337" t="s">
        <v>2790</v>
      </c>
      <c r="B88" s="2342" t="str">
        <f>估价对象房地状况!G18</f>
        <v>该园区内是否有污染型企业，绿化情况，卫生条件，整体环境状况判断</v>
      </c>
      <c r="C88" s="2234" t="s">
        <v>3117</v>
      </c>
      <c r="D88" s="1196">
        <f t="shared" si="25"/>
        <v>0</v>
      </c>
      <c r="E88" s="766"/>
      <c r="F88" s="2000"/>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4"/>
      <c r="AA88" s="2250"/>
      <c r="AG88" s="1282"/>
      <c r="AK88" s="2250"/>
    </row>
    <row r="90" spans="1:37">
      <c r="A90" s="3373" t="s">
        <v>2791</v>
      </c>
      <c r="B90" s="3373"/>
      <c r="C90" s="3373"/>
      <c r="D90" s="3373"/>
      <c r="E90" s="3373"/>
      <c r="F90" s="3373"/>
      <c r="G90" s="3373"/>
      <c r="H90" s="3373"/>
      <c r="I90" s="3373"/>
      <c r="J90" s="3373"/>
      <c r="K90" s="2343"/>
      <c r="L90" s="2343"/>
      <c r="M90" s="2343"/>
      <c r="N90" s="2343"/>
    </row>
    <row r="91" spans="1:37">
      <c r="A91" s="3375" t="s">
        <v>2792</v>
      </c>
      <c r="B91" s="3375" t="s">
        <v>2793</v>
      </c>
      <c r="C91" s="2297" t="s">
        <v>2794</v>
      </c>
      <c r="D91" s="2298"/>
      <c r="E91" s="2298"/>
      <c r="F91" s="2298"/>
      <c r="G91" s="2298"/>
      <c r="H91" s="2298"/>
      <c r="I91" s="2298"/>
      <c r="J91" s="2344"/>
      <c r="K91" s="2345"/>
      <c r="L91" s="2345"/>
      <c r="M91" s="2345"/>
      <c r="N91" s="2345"/>
    </row>
    <row r="92" spans="1:37">
      <c r="A92" s="3375"/>
      <c r="B92" s="3375"/>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76"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7"/>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7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6" t="s">
        <v>2796</v>
      </c>
      <c r="B101" s="2350" t="s">
        <v>2797</v>
      </c>
      <c r="C101" s="2351">
        <f>$G$3</f>
        <v>0.27</v>
      </c>
      <c r="D101" s="2351">
        <f t="shared" ref="D101:N101" si="32">$G$3</f>
        <v>0.27</v>
      </c>
      <c r="E101" s="2351">
        <f t="shared" si="32"/>
        <v>0.27</v>
      </c>
      <c r="F101" s="2351">
        <f t="shared" si="32"/>
        <v>0.27</v>
      </c>
      <c r="G101" s="2351">
        <f t="shared" si="32"/>
        <v>0.27</v>
      </c>
      <c r="H101" s="2351">
        <f t="shared" si="32"/>
        <v>0.27</v>
      </c>
      <c r="I101" s="2351">
        <f t="shared" si="32"/>
        <v>0.27</v>
      </c>
      <c r="J101" s="2351">
        <f t="shared" si="32"/>
        <v>0.27</v>
      </c>
      <c r="K101" s="2351">
        <f t="shared" si="32"/>
        <v>0.27</v>
      </c>
      <c r="L101" s="2351">
        <f t="shared" si="32"/>
        <v>0.27</v>
      </c>
      <c r="M101" s="2351">
        <f t="shared" si="32"/>
        <v>0.27</v>
      </c>
      <c r="N101" s="2351">
        <f t="shared" si="32"/>
        <v>0.27</v>
      </c>
    </row>
    <row r="102" spans="1:14">
      <c r="A102" s="3377"/>
      <c r="B102" s="2346">
        <v>1</v>
      </c>
      <c r="C102" s="2347">
        <f>1.9362/C101</f>
        <v>7.1711111111111103</v>
      </c>
      <c r="D102" s="2347">
        <f>1.9362/D101</f>
        <v>7.1711111111111103</v>
      </c>
      <c r="E102" s="2347">
        <f>1.8629/E101</f>
        <v>6.8996296296296293</v>
      </c>
      <c r="F102" s="2347">
        <f>1.8629/F101</f>
        <v>6.8996296296296293</v>
      </c>
      <c r="G102" s="2347">
        <f>1.8629/G101</f>
        <v>6.8996296296296293</v>
      </c>
      <c r="H102" s="2347">
        <f>1.8629/H101</f>
        <v>6.8996296296296293</v>
      </c>
      <c r="I102" s="2347">
        <f>1.8629/I101</f>
        <v>6.8996296296296293</v>
      </c>
      <c r="J102" s="2347">
        <f>1.942/J101</f>
        <v>7.1925925925925922</v>
      </c>
      <c r="K102" s="2347">
        <f>1.942/K101</f>
        <v>7.1925925925925922</v>
      </c>
      <c r="L102" s="2347">
        <f>1.942/L101</f>
        <v>7.1925925925925922</v>
      </c>
      <c r="M102" s="2347">
        <f>1.942/M101</f>
        <v>7.1925925925925922</v>
      </c>
      <c r="N102" s="2347">
        <f>1.942/N101</f>
        <v>7.1925925925925922</v>
      </c>
    </row>
    <row r="103" spans="1:14">
      <c r="A103" s="3377"/>
      <c r="B103" s="2346">
        <v>2</v>
      </c>
      <c r="C103" s="2347">
        <f>1.4198/C101</f>
        <v>5.2585185185185184</v>
      </c>
      <c r="D103" s="2347">
        <f>1.4198/D101</f>
        <v>5.2585185185185184</v>
      </c>
      <c r="E103" s="2347">
        <f>1.3372/E101</f>
        <v>4.952592592592592</v>
      </c>
      <c r="F103" s="2347">
        <f>1.3372/F101</f>
        <v>4.952592592592592</v>
      </c>
      <c r="G103" s="2347">
        <f>1.3372/G101</f>
        <v>4.952592592592592</v>
      </c>
      <c r="H103" s="2347">
        <f>1.3372/H101</f>
        <v>4.952592592592592</v>
      </c>
      <c r="I103" s="2347">
        <f>1.3372/I101</f>
        <v>4.952592592592592</v>
      </c>
      <c r="J103" s="2347">
        <f>1.2799/J101</f>
        <v>4.7403703703703703</v>
      </c>
      <c r="K103" s="2347">
        <f>1.2799/K101</f>
        <v>4.7403703703703703</v>
      </c>
      <c r="L103" s="2347">
        <f>1.2799/L101</f>
        <v>4.7403703703703703</v>
      </c>
      <c r="M103" s="2347">
        <f>1.2799/M101</f>
        <v>4.7403703703703703</v>
      </c>
      <c r="N103" s="2347">
        <f>1.2799/N101</f>
        <v>4.7403703703703703</v>
      </c>
    </row>
    <row r="104" spans="1:14">
      <c r="A104" s="3377"/>
      <c r="B104" s="2346">
        <v>3</v>
      </c>
      <c r="C104" s="2347">
        <f>1.1594/C101</f>
        <v>4.2940740740740742</v>
      </c>
      <c r="D104" s="2347">
        <f>1.1594/D101</f>
        <v>4.2940740740740742</v>
      </c>
      <c r="E104" s="2347">
        <f>1.0788/E101</f>
        <v>3.9955555555555553</v>
      </c>
      <c r="F104" s="2347">
        <f>1.0788/F101</f>
        <v>3.9955555555555553</v>
      </c>
      <c r="G104" s="2347">
        <f>1.0788/G101</f>
        <v>3.9955555555555553</v>
      </c>
      <c r="H104" s="2347">
        <f>1.0788/H101</f>
        <v>3.9955555555555553</v>
      </c>
      <c r="I104" s="2347">
        <f>1.0788/I101</f>
        <v>3.9955555555555553</v>
      </c>
      <c r="J104" s="2347">
        <f>1.0072/J101</f>
        <v>3.7303703703703706</v>
      </c>
      <c r="K104" s="2347">
        <f>1.0072/K101</f>
        <v>3.7303703703703706</v>
      </c>
      <c r="L104" s="2347">
        <f>1.0072/L101</f>
        <v>3.7303703703703706</v>
      </c>
      <c r="M104" s="2347">
        <f>1.0072/M101</f>
        <v>3.7303703703703706</v>
      </c>
      <c r="N104" s="2347">
        <f>1.0072/N101</f>
        <v>3.7303703703703706</v>
      </c>
    </row>
    <row r="105" spans="1:14">
      <c r="A105" s="3377"/>
      <c r="B105" s="2346">
        <v>4</v>
      </c>
      <c r="C105" s="2347">
        <f>0.9622/C101</f>
        <v>3.5637037037037036</v>
      </c>
      <c r="D105" s="2347">
        <f>0.9622/D101</f>
        <v>3.5637037037037036</v>
      </c>
      <c r="E105" s="2347">
        <f>0.8656/E101</f>
        <v>3.2059259259259258</v>
      </c>
      <c r="F105" s="2347">
        <f>0.8656/F101</f>
        <v>3.2059259259259258</v>
      </c>
      <c r="G105" s="2347">
        <f>0.8656/G101</f>
        <v>3.2059259259259258</v>
      </c>
      <c r="H105" s="2347">
        <f>0.8656/H101</f>
        <v>3.2059259259259258</v>
      </c>
      <c r="I105" s="2347">
        <f>0.8656/I101</f>
        <v>3.2059259259259258</v>
      </c>
      <c r="J105" s="2347">
        <f>0.7525/J101</f>
        <v>2.7870370370370368</v>
      </c>
      <c r="K105" s="2347">
        <f>0.7525/K101</f>
        <v>2.7870370370370368</v>
      </c>
      <c r="L105" s="2347">
        <f>0.7525/L101</f>
        <v>2.7870370370370368</v>
      </c>
      <c r="M105" s="2347">
        <f>0.7525/M101</f>
        <v>2.7870370370370368</v>
      </c>
      <c r="N105" s="2347">
        <f>0.7525/N101</f>
        <v>2.7870370370370368</v>
      </c>
    </row>
    <row r="106" spans="1:14">
      <c r="A106" s="3377"/>
      <c r="B106" s="2346">
        <v>5</v>
      </c>
      <c r="C106" s="2347">
        <f>0.8417/C101</f>
        <v>3.1174074074074074</v>
      </c>
      <c r="D106" s="2347">
        <f>0.8417/D101</f>
        <v>3.1174074074074074</v>
      </c>
      <c r="E106" s="2347">
        <f>0.7371/E101</f>
        <v>2.7299999999999995</v>
      </c>
      <c r="F106" s="2347">
        <f>0.7371/F101</f>
        <v>2.7299999999999995</v>
      </c>
      <c r="G106" s="2347">
        <f>0.7371/G101</f>
        <v>2.7299999999999995</v>
      </c>
      <c r="H106" s="2347">
        <f>0.7371/H101</f>
        <v>2.7299999999999995</v>
      </c>
      <c r="I106" s="2347">
        <f>0.7371/I101</f>
        <v>2.7299999999999995</v>
      </c>
      <c r="J106" s="2347">
        <f>0.5659/J101</f>
        <v>2.0959259259259255</v>
      </c>
      <c r="K106" s="2347">
        <f>0.5659/K101</f>
        <v>2.0959259259259255</v>
      </c>
      <c r="L106" s="2347">
        <f>0.5659/L101</f>
        <v>2.0959259259259255</v>
      </c>
      <c r="M106" s="2347">
        <f>0.5659/M101</f>
        <v>2.0959259259259255</v>
      </c>
      <c r="N106" s="2347">
        <f>0.5659/N101</f>
        <v>2.0959259259259255</v>
      </c>
    </row>
    <row r="107" spans="1:14">
      <c r="A107" s="3377"/>
      <c r="B107" s="2346">
        <v>6</v>
      </c>
      <c r="C107" s="2347">
        <f>0.7608/C101</f>
        <v>2.8177777777777777</v>
      </c>
      <c r="D107" s="2347">
        <f>0.7608/D101</f>
        <v>2.8177777777777777</v>
      </c>
      <c r="E107" s="2347">
        <f>0.6482/E101</f>
        <v>2.4007407407407406</v>
      </c>
      <c r="F107" s="2347">
        <f>0.6482/F101</f>
        <v>2.4007407407407406</v>
      </c>
      <c r="G107" s="2347">
        <f>0.6482/G101</f>
        <v>2.4007407407407406</v>
      </c>
      <c r="H107" s="2347">
        <f>0.6482/H101</f>
        <v>2.4007407407407406</v>
      </c>
      <c r="I107" s="2347">
        <f>0.6482/I101</f>
        <v>2.4007407407407406</v>
      </c>
      <c r="J107" s="2347">
        <f>0.4525/J101</f>
        <v>1.6759259259259258</v>
      </c>
      <c r="K107" s="2347">
        <f>0.4525/K101</f>
        <v>1.6759259259259258</v>
      </c>
      <c r="L107" s="2347">
        <f>0.4525/L101</f>
        <v>1.6759259259259258</v>
      </c>
      <c r="M107" s="2347">
        <f>0.4525/M101</f>
        <v>1.6759259259259258</v>
      </c>
      <c r="N107" s="2347">
        <f>0.4525/N101</f>
        <v>1.6759259259259258</v>
      </c>
    </row>
    <row r="108" spans="1:14">
      <c r="A108" s="3377"/>
      <c r="B108" s="3379"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78"/>
      <c r="B109" s="3380"/>
      <c r="C109" s="2349">
        <f>(-0.163*(C108^2)-0.59*C108+7617)*(10^(-4))/C101</f>
        <v>2.8211111111111111</v>
      </c>
      <c r="D109" s="2349">
        <f>(-0.163*(D108^2)-0.59*D108+7617)*(10^(-4))/D101</f>
        <v>2.8211111111111111</v>
      </c>
      <c r="E109" s="2349">
        <f>(-0.161*(E108^2)-7.509*E108+6533)*(10^(-4))/E101</f>
        <v>2.4196296296296294</v>
      </c>
      <c r="F109" s="2349">
        <f>(-0.161*(F108^2)-7.509*F108+6533)*(10^(-4))/F101</f>
        <v>2.4196296296296294</v>
      </c>
      <c r="G109" s="2349">
        <f>(-0.161*(G108^2)-7.509*G108+6533)*(10^(-4))/G101</f>
        <v>2.4196296296296294</v>
      </c>
      <c r="H109" s="2349">
        <f>(-0.161*(H108^2)-7.509*H108+6533)*(10^(-4))/H101</f>
        <v>2.4196296296296294</v>
      </c>
      <c r="I109" s="2349">
        <f>(-0.161*(I108^2)-7.509*I108+6533)*(10^(-4))/I101</f>
        <v>2.4196296296296294</v>
      </c>
      <c r="J109" s="2349">
        <f>(-0.214*(J108^2)-21.991*J108+4665)*(10^(-4))/J101</f>
        <v>1.7277777777777779</v>
      </c>
      <c r="K109" s="2349">
        <f>(-0.214*(K108^2)-21.991*K108+4665)*(10^(-4))/K101</f>
        <v>1.7277777777777779</v>
      </c>
      <c r="L109" s="2349">
        <f>(-0.214*(L108^2)-21.991*L108+4665)*(10^(-4))/L101</f>
        <v>1.7277777777777779</v>
      </c>
      <c r="M109" s="2349">
        <f>(-0.214*(M108^2)-21.991*M108+4665)*(10^(-4))/M101</f>
        <v>1.7277777777777779</v>
      </c>
      <c r="N109" s="2349">
        <f>(-0.214*(N108^2)-21.991*N108+4665)*(10^(-4))/N101</f>
        <v>1.7277777777777779</v>
      </c>
    </row>
    <row r="110" spans="1:14">
      <c r="A110" s="3374" t="s">
        <v>2799</v>
      </c>
      <c r="B110" s="3374"/>
      <c r="C110" s="3374"/>
      <c r="D110" s="3374"/>
      <c r="E110" s="3374"/>
      <c r="F110" s="3374"/>
      <c r="G110" s="3374"/>
      <c r="H110" s="3374"/>
      <c r="I110" s="3374"/>
      <c r="J110" s="3374"/>
      <c r="K110" s="2352"/>
      <c r="L110" s="2352"/>
      <c r="M110" s="2352"/>
      <c r="N110" s="2352"/>
    </row>
    <row r="112" spans="1:14" ht="13.5" thickBot="1"/>
    <row r="113" spans="1:13" ht="25.5" thickBot="1">
      <c r="A113" s="842" t="s">
        <v>2800</v>
      </c>
      <c r="B113" s="1197">
        <f>G3</f>
        <v>0.27</v>
      </c>
      <c r="C113" s="843" t="s">
        <v>2801</v>
      </c>
      <c r="D113" s="844">
        <f>SUMPRODUCT((A115:A118=F113)*(B114:M114=H113)*B115:M118)</f>
        <v>0.62660000000000005</v>
      </c>
      <c r="E113" s="2188" t="s">
        <v>2635</v>
      </c>
      <c r="F113" s="2354" t="str">
        <f>E2</f>
        <v>工业</v>
      </c>
      <c r="G113" s="2188" t="s">
        <v>2636</v>
      </c>
      <c r="H113" s="2354" t="str">
        <f>G2</f>
        <v>六级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0.93100000000000005</v>
      </c>
      <c r="C115" s="849">
        <f>B115</f>
        <v>0.93100000000000005</v>
      </c>
      <c r="D115" s="849">
        <f>ROUND(0.8331-0.0109*B113,4)</f>
        <v>0.83020000000000005</v>
      </c>
      <c r="E115" s="849">
        <f>D115</f>
        <v>0.83020000000000005</v>
      </c>
      <c r="F115" s="849">
        <f>E115</f>
        <v>0.83020000000000005</v>
      </c>
      <c r="G115" s="849">
        <f>F115</f>
        <v>0.83020000000000005</v>
      </c>
      <c r="H115" s="849">
        <f>G115</f>
        <v>0.83020000000000005</v>
      </c>
      <c r="I115" s="849">
        <f>ROUND(0.689-0.0155*B113,4)</f>
        <v>0.68479999999999996</v>
      </c>
      <c r="J115" s="849">
        <f t="shared" ref="J115:M118" si="34">I115</f>
        <v>0.68479999999999996</v>
      </c>
      <c r="K115" s="849">
        <f t="shared" si="34"/>
        <v>0.68479999999999996</v>
      </c>
      <c r="L115" s="849">
        <f t="shared" si="34"/>
        <v>0.68479999999999996</v>
      </c>
      <c r="M115" s="850">
        <f t="shared" si="34"/>
        <v>0.68479999999999996</v>
      </c>
    </row>
    <row r="116" spans="1:13">
      <c r="A116" s="848" t="s">
        <v>2701</v>
      </c>
      <c r="B116" s="849">
        <f>ROUND(0.949-0.012*B113,4)</f>
        <v>0.94579999999999997</v>
      </c>
      <c r="C116" s="849">
        <f>B116</f>
        <v>0.94579999999999997</v>
      </c>
      <c r="D116" s="849">
        <f>ROUND(0.8567-0.013*B113,4)</f>
        <v>0.85319999999999996</v>
      </c>
      <c r="E116" s="849">
        <f t="shared" ref="E116:H117" si="35">D116</f>
        <v>0.85319999999999996</v>
      </c>
      <c r="F116" s="849">
        <f t="shared" si="35"/>
        <v>0.85319999999999996</v>
      </c>
      <c r="G116" s="849">
        <f t="shared" si="35"/>
        <v>0.85319999999999996</v>
      </c>
      <c r="H116" s="849">
        <f t="shared" si="35"/>
        <v>0.85319999999999996</v>
      </c>
      <c r="I116" s="849">
        <f>ROUND(0.7694-0.014*B113,4)</f>
        <v>0.76559999999999995</v>
      </c>
      <c r="J116" s="849">
        <f t="shared" si="34"/>
        <v>0.76559999999999995</v>
      </c>
      <c r="K116" s="849">
        <f t="shared" si="34"/>
        <v>0.76559999999999995</v>
      </c>
      <c r="L116" s="849">
        <f t="shared" si="34"/>
        <v>0.76559999999999995</v>
      </c>
      <c r="M116" s="850">
        <f t="shared" si="34"/>
        <v>0.76559999999999995</v>
      </c>
    </row>
    <row r="117" spans="1:13">
      <c r="A117" s="848" t="s">
        <v>2702</v>
      </c>
      <c r="B117" s="849">
        <f>ROUND(0.8808-0.006*B113,4)</f>
        <v>0.87919999999999998</v>
      </c>
      <c r="C117" s="849">
        <f>B117</f>
        <v>0.87919999999999998</v>
      </c>
      <c r="D117" s="849">
        <f>ROUND(0.8748-0.008*B113,4)</f>
        <v>0.87260000000000004</v>
      </c>
      <c r="E117" s="849">
        <f t="shared" si="35"/>
        <v>0.87260000000000004</v>
      </c>
      <c r="F117" s="849">
        <f t="shared" si="35"/>
        <v>0.87260000000000004</v>
      </c>
      <c r="G117" s="849">
        <f t="shared" si="35"/>
        <v>0.87260000000000004</v>
      </c>
      <c r="H117" s="849">
        <f t="shared" si="35"/>
        <v>0.87260000000000004</v>
      </c>
      <c r="I117" s="849">
        <f>ROUND(0.7412-0.0095*B113,4)</f>
        <v>0.73860000000000003</v>
      </c>
      <c r="J117" s="849">
        <f t="shared" si="34"/>
        <v>0.73860000000000003</v>
      </c>
      <c r="K117" s="849">
        <f t="shared" si="34"/>
        <v>0.73860000000000003</v>
      </c>
      <c r="L117" s="849">
        <f t="shared" si="34"/>
        <v>0.73860000000000003</v>
      </c>
      <c r="M117" s="850">
        <f t="shared" si="34"/>
        <v>0.73860000000000003</v>
      </c>
    </row>
    <row r="118" spans="1:13" ht="13.5" thickBot="1">
      <c r="A118" s="670" t="s">
        <v>2703</v>
      </c>
      <c r="B118" s="851">
        <f>ROUND(0.7275-0.01*B113,4)</f>
        <v>0.7248</v>
      </c>
      <c r="C118" s="851">
        <f>B118</f>
        <v>0.7248</v>
      </c>
      <c r="D118" s="851">
        <f>ROUND(0.7043-0.012*B113,4)</f>
        <v>0.70109999999999995</v>
      </c>
      <c r="E118" s="851">
        <f>D118</f>
        <v>0.70109999999999995</v>
      </c>
      <c r="F118" s="851">
        <f>E118</f>
        <v>0.70109999999999995</v>
      </c>
      <c r="G118" s="851">
        <f>ROUND(0.6299-0.0122*B113,4)</f>
        <v>0.62660000000000005</v>
      </c>
      <c r="H118" s="851">
        <f>G118</f>
        <v>0.62660000000000005</v>
      </c>
      <c r="I118" s="851">
        <f>ROUND(0.5667-0.0136*B113,4)</f>
        <v>0.56299999999999994</v>
      </c>
      <c r="J118" s="851">
        <f t="shared" si="34"/>
        <v>0.56299999999999994</v>
      </c>
      <c r="K118" s="851">
        <f t="shared" si="34"/>
        <v>0.56299999999999994</v>
      </c>
      <c r="L118" s="851">
        <f t="shared" si="34"/>
        <v>0.56299999999999994</v>
      </c>
      <c r="M118" s="852">
        <f t="shared" si="34"/>
        <v>0.56299999999999994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41" sqref="M4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1" t="s">
        <v>2467</v>
      </c>
      <c r="D4" s="3292"/>
      <c r="E4" s="3293" t="s">
        <v>2468</v>
      </c>
      <c r="F4" s="3294"/>
      <c r="G4" s="3291" t="s">
        <v>2469</v>
      </c>
      <c r="H4" s="3292"/>
      <c r="I4" s="3291" t="s">
        <v>2470</v>
      </c>
      <c r="J4" s="3292"/>
      <c r="K4" s="567" t="s">
        <v>2471</v>
      </c>
      <c r="L4" s="2944"/>
      <c r="M4" s="2945"/>
      <c r="N4" s="2945"/>
      <c r="O4" s="2945"/>
      <c r="P4" s="3295" t="s">
        <v>2472</v>
      </c>
      <c r="Q4" s="3296"/>
      <c r="R4" s="3278" t="s">
        <v>2468</v>
      </c>
      <c r="S4" s="3279"/>
      <c r="T4" s="3278" t="s">
        <v>2469</v>
      </c>
      <c r="U4" s="3279"/>
      <c r="V4" s="3303" t="s">
        <v>2470</v>
      </c>
      <c r="W4" s="3303"/>
      <c r="X4" s="1539"/>
      <c r="Y4" s="3278" t="s">
        <v>2472</v>
      </c>
      <c r="Z4" s="3279"/>
      <c r="AA4" s="3273" t="s">
        <v>2468</v>
      </c>
      <c r="AB4" s="3274" t="s">
        <v>2469</v>
      </c>
      <c r="AC4" s="3273" t="s">
        <v>2470</v>
      </c>
    </row>
    <row r="5" spans="1:29" ht="15">
      <c r="A5" s="364"/>
      <c r="B5" s="365"/>
      <c r="C5" s="3284" t="s">
        <v>2363</v>
      </c>
      <c r="D5" s="3285"/>
      <c r="E5" s="3282" t="s">
        <v>2364</v>
      </c>
      <c r="F5" s="3283"/>
      <c r="G5" s="3284" t="s">
        <v>2365</v>
      </c>
      <c r="H5" s="3285"/>
      <c r="I5" s="3284" t="s">
        <v>2366</v>
      </c>
      <c r="J5" s="3285"/>
      <c r="K5" s="567"/>
      <c r="L5" s="2944"/>
      <c r="M5" s="2945"/>
      <c r="N5" s="2945"/>
      <c r="O5" s="2945"/>
      <c r="P5" s="3297"/>
      <c r="Q5" s="3298"/>
      <c r="R5" s="3280"/>
      <c r="S5" s="3281"/>
      <c r="T5" s="3280"/>
      <c r="U5" s="3281"/>
      <c r="V5" s="3303"/>
      <c r="W5" s="3303"/>
      <c r="X5" s="1539"/>
      <c r="Y5" s="3280"/>
      <c r="Z5" s="3281"/>
      <c r="AA5" s="3274"/>
      <c r="AB5" s="3274"/>
      <c r="AC5" s="3274"/>
    </row>
    <row r="6" spans="1:29" ht="15.75" thickBot="1">
      <c r="A6" s="366"/>
      <c r="B6" s="367"/>
      <c r="C6" s="3397" t="s">
        <v>2618</v>
      </c>
      <c r="D6" s="3398"/>
      <c r="E6" s="3399" t="s">
        <v>2618</v>
      </c>
      <c r="F6" s="3400"/>
      <c r="G6" s="3397" t="s">
        <v>2618</v>
      </c>
      <c r="H6" s="3398"/>
      <c r="I6" s="3397" t="s">
        <v>2618</v>
      </c>
      <c r="J6" s="3398"/>
      <c r="K6" s="567" t="s">
        <v>2368</v>
      </c>
      <c r="L6" s="2944"/>
      <c r="M6" s="2945"/>
      <c r="N6" s="2945"/>
      <c r="O6" s="2945"/>
      <c r="P6" s="3299"/>
      <c r="Q6" s="3300"/>
      <c r="R6" s="3280"/>
      <c r="S6" s="3281"/>
      <c r="T6" s="3301"/>
      <c r="U6" s="3302"/>
      <c r="V6" s="3303"/>
      <c r="W6" s="3303"/>
      <c r="X6" s="1539"/>
      <c r="Y6" s="3301"/>
      <c r="Z6" s="3302"/>
      <c r="AA6" s="3275"/>
      <c r="AB6" s="3275"/>
      <c r="AC6" s="3275"/>
    </row>
    <row r="7" spans="1:29" s="113" customFormat="1" ht="15.75" thickBot="1">
      <c r="A7" s="368" t="s">
        <v>2369</v>
      </c>
      <c r="B7" s="369"/>
      <c r="C7" s="370">
        <f>'数据-取费表'!B2</f>
        <v>44512</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76" t="s">
        <v>2370</v>
      </c>
      <c r="Q7" s="3304"/>
      <c r="R7" s="710" t="s">
        <v>17</v>
      </c>
      <c r="S7" s="711">
        <f t="shared" ref="S7:S15" si="0">F7</f>
        <v>0</v>
      </c>
      <c r="T7" s="710" t="s">
        <v>17</v>
      </c>
      <c r="U7" s="711">
        <f t="shared" ref="U7:U15" si="1">H7</f>
        <v>0</v>
      </c>
      <c r="V7" s="710" t="s">
        <v>17</v>
      </c>
      <c r="W7" s="711">
        <f t="shared" ref="W7:W15" si="2">J7</f>
        <v>0</v>
      </c>
      <c r="X7" s="712"/>
      <c r="Y7" s="3276" t="s">
        <v>2370</v>
      </c>
      <c r="Z7" s="327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76" t="s">
        <v>2373</v>
      </c>
      <c r="Q8" s="3277"/>
      <c r="R8" s="710" t="s">
        <v>17</v>
      </c>
      <c r="S8" s="711">
        <f t="shared" si="0"/>
        <v>0</v>
      </c>
      <c r="T8" s="710" t="s">
        <v>17</v>
      </c>
      <c r="U8" s="711">
        <f t="shared" si="1"/>
        <v>0</v>
      </c>
      <c r="V8" s="710" t="s">
        <v>17</v>
      </c>
      <c r="W8" s="711">
        <f t="shared" si="2"/>
        <v>0</v>
      </c>
      <c r="X8" s="712"/>
      <c r="Y8" s="3276" t="s">
        <v>2373</v>
      </c>
      <c r="Z8" s="327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90" t="s">
        <v>2376</v>
      </c>
      <c r="Q9" s="1527" t="str">
        <f t="shared" ref="Q9:Q15" si="6">B9</f>
        <v>用途</v>
      </c>
      <c r="R9" s="710" t="s">
        <v>17</v>
      </c>
      <c r="S9" s="711">
        <f t="shared" si="0"/>
        <v>100</v>
      </c>
      <c r="T9" s="710" t="s">
        <v>17</v>
      </c>
      <c r="U9" s="711">
        <f t="shared" si="1"/>
        <v>100</v>
      </c>
      <c r="V9" s="710" t="s">
        <v>17</v>
      </c>
      <c r="W9" s="711">
        <f t="shared" si="2"/>
        <v>100</v>
      </c>
      <c r="X9" s="712"/>
      <c r="Y9" s="324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48"/>
      <c r="M10" s="2949"/>
      <c r="N10" s="2949"/>
      <c r="O10" s="3002"/>
      <c r="P10" s="3290"/>
      <c r="Q10" s="1527" t="str">
        <f t="shared" si="6"/>
        <v>土地使用年限（年）</v>
      </c>
      <c r="R10" s="710" t="s">
        <v>17</v>
      </c>
      <c r="S10" s="711">
        <f t="shared" si="0"/>
        <v>112</v>
      </c>
      <c r="T10" s="710" t="s">
        <v>17</v>
      </c>
      <c r="U10" s="711">
        <f t="shared" si="1"/>
        <v>112</v>
      </c>
      <c r="V10" s="710" t="s">
        <v>17</v>
      </c>
      <c r="W10" s="711">
        <f t="shared" si="2"/>
        <v>112</v>
      </c>
      <c r="X10" s="712"/>
      <c r="Y10" s="3249"/>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90"/>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90"/>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90"/>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90"/>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05" t="s">
        <v>2381</v>
      </c>
      <c r="Q15" s="1536" t="str">
        <f t="shared" si="6"/>
        <v>产业集聚程度</v>
      </c>
      <c r="R15" s="714" t="s">
        <v>17</v>
      </c>
      <c r="S15" s="715">
        <f t="shared" si="0"/>
        <v>100</v>
      </c>
      <c r="T15" s="714" t="s">
        <v>17</v>
      </c>
      <c r="U15" s="715">
        <f t="shared" si="1"/>
        <v>100</v>
      </c>
      <c r="V15" s="714" t="s">
        <v>17</v>
      </c>
      <c r="W15" s="715">
        <f t="shared" si="2"/>
        <v>100</v>
      </c>
      <c r="X15" s="1539"/>
      <c r="Y15" s="3305"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06"/>
      <c r="Q16" s="1536"/>
      <c r="R16" s="714"/>
      <c r="S16" s="715"/>
      <c r="T16" s="714"/>
      <c r="U16" s="715"/>
      <c r="V16" s="714"/>
      <c r="W16" s="715"/>
      <c r="X16" s="1539"/>
      <c r="Y16" s="3306"/>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06"/>
      <c r="Q17" s="1536" t="str">
        <f>B17</f>
        <v>交通便捷度</v>
      </c>
      <c r="R17" s="714" t="s">
        <v>17</v>
      </c>
      <c r="S17" s="715">
        <f>F17</f>
        <v>100</v>
      </c>
      <c r="T17" s="714" t="s">
        <v>17</v>
      </c>
      <c r="U17" s="715">
        <f>H17</f>
        <v>100</v>
      </c>
      <c r="V17" s="714" t="s">
        <v>17</v>
      </c>
      <c r="W17" s="715">
        <f>J17</f>
        <v>100</v>
      </c>
      <c r="X17" s="1539"/>
      <c r="Y17" s="330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06"/>
      <c r="Q18" s="1536"/>
      <c r="R18" s="714"/>
      <c r="S18" s="715"/>
      <c r="T18" s="714"/>
      <c r="U18" s="715"/>
      <c r="V18" s="714"/>
      <c r="W18" s="715"/>
      <c r="X18" s="1539"/>
      <c r="Y18" s="3306"/>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06"/>
      <c r="Q19" s="1536" t="str">
        <f t="shared" ref="Q19:Q33" si="8">B19</f>
        <v>区域土地利用方向</v>
      </c>
      <c r="R19" s="714" t="s">
        <v>17</v>
      </c>
      <c r="S19" s="715">
        <f>F19</f>
        <v>100</v>
      </c>
      <c r="T19" s="714" t="s">
        <v>17</v>
      </c>
      <c r="U19" s="715">
        <f>H19</f>
        <v>100</v>
      </c>
      <c r="V19" s="714" t="s">
        <v>17</v>
      </c>
      <c r="W19" s="715">
        <f>J19</f>
        <v>100</v>
      </c>
      <c r="X19" s="1539"/>
      <c r="Y19" s="330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06"/>
      <c r="Q20" s="1536"/>
      <c r="R20" s="714"/>
      <c r="S20" s="715"/>
      <c r="T20" s="714"/>
      <c r="U20" s="715"/>
      <c r="V20" s="714"/>
      <c r="W20" s="715"/>
      <c r="X20" s="1539"/>
      <c r="Y20" s="3306"/>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06"/>
      <c r="Q21" s="1536" t="str">
        <f t="shared" si="8"/>
        <v>环境状况</v>
      </c>
      <c r="R21" s="714" t="s">
        <v>17</v>
      </c>
      <c r="S21" s="715">
        <f>F21</f>
        <v>100</v>
      </c>
      <c r="T21" s="714" t="s">
        <v>17</v>
      </c>
      <c r="U21" s="715">
        <f>H21</f>
        <v>100</v>
      </c>
      <c r="V21" s="714" t="s">
        <v>17</v>
      </c>
      <c r="W21" s="715">
        <f>J21</f>
        <v>100</v>
      </c>
      <c r="X21" s="1539"/>
      <c r="Y21" s="330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06"/>
      <c r="Q22" s="1536"/>
      <c r="R22" s="714"/>
      <c r="S22" s="715"/>
      <c r="T22" s="714"/>
      <c r="U22" s="715"/>
      <c r="V22" s="714"/>
      <c r="W22" s="715"/>
      <c r="X22" s="1539"/>
      <c r="Y22" s="3306"/>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06"/>
      <c r="Q23" s="1527" t="str">
        <f t="shared" si="8"/>
        <v>公共配套设施</v>
      </c>
      <c r="R23" s="710" t="s">
        <v>17</v>
      </c>
      <c r="S23" s="711">
        <f>F23</f>
        <v>100</v>
      </c>
      <c r="T23" s="710" t="s">
        <v>17</v>
      </c>
      <c r="U23" s="711">
        <f>H23</f>
        <v>100</v>
      </c>
      <c r="V23" s="710" t="s">
        <v>17</v>
      </c>
      <c r="W23" s="711">
        <f>J23</f>
        <v>100</v>
      </c>
      <c r="X23" s="712"/>
      <c r="Y23" s="330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06"/>
      <c r="Q24" s="1527"/>
      <c r="R24" s="710"/>
      <c r="S24" s="711"/>
      <c r="T24" s="710"/>
      <c r="U24" s="711"/>
      <c r="V24" s="710"/>
      <c r="W24" s="711"/>
      <c r="X24" s="712"/>
      <c r="Y24" s="3306"/>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06"/>
      <c r="Q25" s="1527" t="str">
        <f t="shared" ref="Q25" si="9">B25</f>
        <v>基础设施水平</v>
      </c>
      <c r="R25" s="710" t="s">
        <v>17</v>
      </c>
      <c r="S25" s="711">
        <f>F25</f>
        <v>100</v>
      </c>
      <c r="T25" s="710" t="s">
        <v>17</v>
      </c>
      <c r="U25" s="711">
        <f>H25</f>
        <v>100</v>
      </c>
      <c r="V25" s="710" t="s">
        <v>17</v>
      </c>
      <c r="W25" s="711">
        <f>J25</f>
        <v>100</v>
      </c>
      <c r="X25" s="712"/>
      <c r="Y25" s="330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06"/>
      <c r="Q26" s="1527"/>
      <c r="R26" s="710"/>
      <c r="S26" s="711"/>
      <c r="T26" s="710"/>
      <c r="U26" s="711"/>
      <c r="V26" s="710"/>
      <c r="W26" s="711"/>
      <c r="X26" s="712"/>
      <c r="Y26" s="330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0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06"/>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06"/>
      <c r="Q28" s="1536" t="str">
        <f t="shared" si="8"/>
        <v>毗邻道路的类型与等级</v>
      </c>
      <c r="R28" s="714" t="s">
        <v>17</v>
      </c>
      <c r="S28" s="715">
        <f t="shared" si="10"/>
        <v>100</v>
      </c>
      <c r="T28" s="714" t="s">
        <v>17</v>
      </c>
      <c r="U28" s="715">
        <f t="shared" si="11"/>
        <v>100</v>
      </c>
      <c r="V28" s="714" t="s">
        <v>17</v>
      </c>
      <c r="W28" s="715">
        <f t="shared" si="12"/>
        <v>100</v>
      </c>
      <c r="X28" s="1539"/>
      <c r="Y28" s="330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06"/>
      <c r="Q29" s="1536"/>
      <c r="R29" s="714"/>
      <c r="S29" s="715"/>
      <c r="T29" s="714"/>
      <c r="U29" s="715"/>
      <c r="V29" s="714"/>
      <c r="W29" s="715"/>
      <c r="X29" s="1539"/>
      <c r="Y29" s="3306"/>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06"/>
      <c r="Q30" s="1536" t="str">
        <f t="shared" si="8"/>
        <v>土地级别</v>
      </c>
      <c r="R30" s="714" t="s">
        <v>17</v>
      </c>
      <c r="S30" s="715">
        <f t="shared" si="10"/>
        <v>100</v>
      </c>
      <c r="T30" s="714" t="s">
        <v>17</v>
      </c>
      <c r="U30" s="715">
        <f t="shared" si="11"/>
        <v>100</v>
      </c>
      <c r="V30" s="714" t="s">
        <v>17</v>
      </c>
      <c r="W30" s="715">
        <f t="shared" si="12"/>
        <v>100</v>
      </c>
      <c r="X30" s="1539"/>
      <c r="Y30" s="330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06"/>
      <c r="Q31" s="1536">
        <f t="shared" si="8"/>
        <v>111</v>
      </c>
      <c r="R31" s="714" t="s">
        <v>17</v>
      </c>
      <c r="S31" s="715">
        <f t="shared" si="10"/>
        <v>100</v>
      </c>
      <c r="T31" s="714" t="s">
        <v>17</v>
      </c>
      <c r="U31" s="715">
        <f t="shared" si="11"/>
        <v>100</v>
      </c>
      <c r="V31" s="714" t="s">
        <v>17</v>
      </c>
      <c r="W31" s="715">
        <f t="shared" si="12"/>
        <v>100</v>
      </c>
      <c r="X31" s="1539"/>
      <c r="Y31" s="330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07" t="s">
        <v>2386</v>
      </c>
      <c r="Q32" s="1536">
        <f t="shared" si="8"/>
        <v>111</v>
      </c>
      <c r="R32" s="714" t="s">
        <v>17</v>
      </c>
      <c r="S32" s="715">
        <f t="shared" si="10"/>
        <v>100</v>
      </c>
      <c r="T32" s="714" t="s">
        <v>17</v>
      </c>
      <c r="U32" s="715">
        <f t="shared" si="11"/>
        <v>100</v>
      </c>
      <c r="V32" s="714" t="s">
        <v>17</v>
      </c>
      <c r="W32" s="715">
        <f t="shared" si="12"/>
        <v>100</v>
      </c>
      <c r="X32" s="1539"/>
      <c r="Y32" s="3308"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08"/>
      <c r="Q33" s="1536">
        <f t="shared" si="8"/>
        <v>111</v>
      </c>
      <c r="R33" s="717" t="s">
        <v>17</v>
      </c>
      <c r="S33" s="718">
        <f t="shared" si="10"/>
        <v>100</v>
      </c>
      <c r="T33" s="717" t="s">
        <v>17</v>
      </c>
      <c r="U33" s="718">
        <f t="shared" si="11"/>
        <v>100</v>
      </c>
      <c r="V33" s="717" t="s">
        <v>17</v>
      </c>
      <c r="W33" s="718">
        <f t="shared" si="12"/>
        <v>100</v>
      </c>
      <c r="X33" s="719"/>
      <c r="Y33" s="3308"/>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08"/>
      <c r="Q34" s="1536" t="str">
        <f>B34</f>
        <v>宗地面积</v>
      </c>
      <c r="R34" s="714" t="s">
        <v>17</v>
      </c>
      <c r="S34" s="715" t="e">
        <f t="shared" si="10"/>
        <v>#N/A</v>
      </c>
      <c r="T34" s="714" t="s">
        <v>17</v>
      </c>
      <c r="U34" s="715" t="e">
        <f t="shared" si="11"/>
        <v>#N/A</v>
      </c>
      <c r="V34" s="714" t="s">
        <v>17</v>
      </c>
      <c r="W34" s="715" t="e">
        <f t="shared" si="12"/>
        <v>#N/A</v>
      </c>
      <c r="X34" s="1539"/>
      <c r="Y34" s="3308"/>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08"/>
      <c r="Q35" s="1536" t="str">
        <f t="shared" ref="Q35:Q40" si="14">B35</f>
        <v>宗地形状</v>
      </c>
      <c r="R35" s="714" t="s">
        <v>17</v>
      </c>
      <c r="S35" s="715">
        <f t="shared" si="10"/>
        <v>100</v>
      </c>
      <c r="T35" s="714" t="s">
        <v>17</v>
      </c>
      <c r="U35" s="715">
        <f t="shared" si="11"/>
        <v>100</v>
      </c>
      <c r="V35" s="714" t="s">
        <v>17</v>
      </c>
      <c r="W35" s="715">
        <f t="shared" si="12"/>
        <v>100</v>
      </c>
      <c r="X35" s="1539"/>
      <c r="Y35" s="3308"/>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08"/>
      <c r="Q36" s="1536" t="str">
        <f t="shared" si="14"/>
        <v>宗地开发程度</v>
      </c>
      <c r="R36" s="710" t="s">
        <v>17</v>
      </c>
      <c r="S36" s="711">
        <f t="shared" si="10"/>
        <v>100</v>
      </c>
      <c r="T36" s="710" t="s">
        <v>17</v>
      </c>
      <c r="U36" s="711">
        <f t="shared" si="11"/>
        <v>100</v>
      </c>
      <c r="V36" s="710" t="s">
        <v>17</v>
      </c>
      <c r="W36" s="711">
        <f t="shared" si="12"/>
        <v>100</v>
      </c>
      <c r="X36" s="712"/>
      <c r="Y36" s="3308"/>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08" t="s">
        <v>2386</v>
      </c>
      <c r="Q37" s="1536" t="str">
        <f t="shared" si="14"/>
        <v>工程地质条件</v>
      </c>
      <c r="R37" s="714" t="s">
        <v>17</v>
      </c>
      <c r="S37" s="715">
        <f t="shared" si="10"/>
        <v>100</v>
      </c>
      <c r="T37" s="714" t="s">
        <v>17</v>
      </c>
      <c r="U37" s="715">
        <f t="shared" si="11"/>
        <v>100</v>
      </c>
      <c r="V37" s="714" t="s">
        <v>17</v>
      </c>
      <c r="W37" s="715">
        <f t="shared" si="12"/>
        <v>100</v>
      </c>
      <c r="X37" s="1539"/>
      <c r="Y37" s="3308"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08"/>
      <c r="Q38" s="1536">
        <f t="shared" si="14"/>
        <v>111</v>
      </c>
      <c r="R38" s="714" t="s">
        <v>17</v>
      </c>
      <c r="S38" s="715">
        <f t="shared" si="10"/>
        <v>100</v>
      </c>
      <c r="T38" s="714" t="s">
        <v>17</v>
      </c>
      <c r="U38" s="715">
        <f t="shared" si="11"/>
        <v>100</v>
      </c>
      <c r="V38" s="714" t="s">
        <v>17</v>
      </c>
      <c r="W38" s="715">
        <f t="shared" si="12"/>
        <v>100</v>
      </c>
      <c r="X38" s="1539"/>
      <c r="Y38" s="3308"/>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08"/>
      <c r="Q39" s="1536">
        <f t="shared" si="14"/>
        <v>111</v>
      </c>
      <c r="R39" s="714" t="s">
        <v>17</v>
      </c>
      <c r="S39" s="715">
        <f t="shared" si="10"/>
        <v>100</v>
      </c>
      <c r="T39" s="714" t="s">
        <v>17</v>
      </c>
      <c r="U39" s="715">
        <f t="shared" si="11"/>
        <v>100</v>
      </c>
      <c r="V39" s="714" t="s">
        <v>17</v>
      </c>
      <c r="W39" s="715">
        <f t="shared" si="12"/>
        <v>100</v>
      </c>
      <c r="X39" s="1539"/>
      <c r="Y39" s="3308"/>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08"/>
      <c r="Q40" s="1536">
        <f t="shared" si="14"/>
        <v>111</v>
      </c>
      <c r="R40" s="717" t="s">
        <v>17</v>
      </c>
      <c r="S40" s="718">
        <f t="shared" si="10"/>
        <v>100</v>
      </c>
      <c r="T40" s="717" t="s">
        <v>17</v>
      </c>
      <c r="U40" s="718">
        <f t="shared" si="11"/>
        <v>100</v>
      </c>
      <c r="V40" s="717" t="s">
        <v>17</v>
      </c>
      <c r="W40" s="718">
        <f t="shared" si="12"/>
        <v>100</v>
      </c>
      <c r="X40" s="719"/>
      <c r="Y40" s="3308"/>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290" t="str">
        <f>A41</f>
        <v>成交单价</v>
      </c>
      <c r="Q41" s="3290"/>
      <c r="R41" s="3303">
        <f>E41</f>
        <v>0</v>
      </c>
      <c r="S41" s="3303"/>
      <c r="T41" s="3303">
        <f>G41</f>
        <v>0</v>
      </c>
      <c r="U41" s="3303"/>
      <c r="V41" s="3303">
        <f>I41</f>
        <v>0</v>
      </c>
      <c r="W41" s="3303"/>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290" t="str">
        <f>A42</f>
        <v>比较价值（元/平方米）</v>
      </c>
      <c r="Q42" s="3290"/>
      <c r="R42" s="3367" t="e">
        <f>ROUND(PRODUCT(R41,AA7:AA40),0)</f>
        <v>#DIV/0!</v>
      </c>
      <c r="S42" s="3367"/>
      <c r="T42" s="3367" t="e">
        <f>ROUND(PRODUCT(T41,AB7:AB40),0)</f>
        <v>#DIV/0!</v>
      </c>
      <c r="U42" s="3367"/>
      <c r="V42" s="3367" t="e">
        <f>ROUND(PRODUCT(V41,AC7:AC40),0)</f>
        <v>#DIV/0!</v>
      </c>
      <c r="W42" s="336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1" t="str">
        <f>A43</f>
        <v>估价对象XX用房的比较价值（楼面单价，元/平方米）</v>
      </c>
      <c r="Q43" s="3312"/>
      <c r="R43" s="3368" t="e">
        <f>ROUND(IF(D42="简单平均",AVERAGE(R42:W42),R42*F42+T42*H42+V42*J42),0)</f>
        <v>#DIV/0!</v>
      </c>
      <c r="S43" s="3368"/>
      <c r="T43" s="3368"/>
      <c r="U43" s="3368"/>
      <c r="V43" s="3368"/>
      <c r="W43" s="3368"/>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91" t="s">
        <v>2585</v>
      </c>
      <c r="H50" s="3369"/>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21395.8</v>
      </c>
      <c r="F51" s="647" t="e">
        <f t="shared" ref="F51:F60" si="15">ROUND(B51*E51/10000,0)</f>
        <v>#DIV/0!</v>
      </c>
      <c r="G51" s="3346"/>
      <c r="H51" s="3290"/>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70"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70"/>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70"/>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70"/>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78780.759999999995</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1" t="s">
        <v>183</v>
      </c>
      <c r="B18" s="821" t="s">
        <v>560</v>
      </c>
      <c r="C18" s="822" t="s">
        <v>561</v>
      </c>
      <c r="D18" s="823"/>
      <c r="E18" s="821">
        <v>1</v>
      </c>
      <c r="F18" s="824" t="s">
        <v>562</v>
      </c>
      <c r="G18" s="825"/>
      <c r="H18" s="817"/>
      <c r="I18" s="817"/>
    </row>
    <row r="19" spans="1:9" s="826" customFormat="1" ht="19.5" customHeight="1">
      <c r="A19" s="3401"/>
      <c r="B19" s="3401" t="s">
        <v>563</v>
      </c>
      <c r="C19" s="822" t="s">
        <v>564</v>
      </c>
      <c r="D19" s="823"/>
      <c r="E19" s="821">
        <v>0.9</v>
      </c>
      <c r="F19" s="824" t="s">
        <v>565</v>
      </c>
      <c r="G19" s="825"/>
      <c r="H19" s="817"/>
      <c r="I19" s="817"/>
    </row>
    <row r="20" spans="1:9" s="826" customFormat="1" ht="19.5" customHeight="1">
      <c r="A20" s="3401"/>
      <c r="B20" s="3401"/>
      <c r="C20" s="822" t="s">
        <v>566</v>
      </c>
      <c r="D20" s="823"/>
      <c r="E20" s="821">
        <v>1.1000000000000001</v>
      </c>
      <c r="F20" s="824" t="s">
        <v>567</v>
      </c>
      <c r="G20" s="825"/>
      <c r="H20" s="817"/>
      <c r="I20" s="817"/>
    </row>
    <row r="21" spans="1:9" s="826" customFormat="1" ht="19.5" customHeight="1">
      <c r="A21" s="3401"/>
      <c r="B21" s="3401"/>
      <c r="C21" s="822" t="s">
        <v>568</v>
      </c>
      <c r="D21" s="823"/>
      <c r="E21" s="821">
        <v>0.8</v>
      </c>
      <c r="F21" s="824" t="s">
        <v>569</v>
      </c>
      <c r="G21" s="825"/>
      <c r="H21" s="817"/>
      <c r="I21" s="817"/>
    </row>
    <row r="22" spans="1:9" s="826" customFormat="1" ht="19.5" customHeight="1">
      <c r="A22" s="3401"/>
      <c r="B22" s="3401"/>
      <c r="C22" s="822" t="s">
        <v>570</v>
      </c>
      <c r="D22" s="823"/>
      <c r="E22" s="821">
        <v>0.5</v>
      </c>
      <c r="F22" s="824"/>
      <c r="G22" s="825"/>
      <c r="H22" s="817"/>
      <c r="I22" s="817"/>
    </row>
    <row r="23" spans="1:9" s="826" customFormat="1" ht="19.5" customHeight="1">
      <c r="A23" s="3401" t="s">
        <v>184</v>
      </c>
      <c r="B23" s="821" t="s">
        <v>560</v>
      </c>
      <c r="C23" s="822" t="s">
        <v>571</v>
      </c>
      <c r="D23" s="823"/>
      <c r="E23" s="821">
        <v>1</v>
      </c>
      <c r="F23" s="824" t="s">
        <v>572</v>
      </c>
      <c r="G23" s="825"/>
      <c r="H23" s="817"/>
      <c r="I23" s="817"/>
    </row>
    <row r="24" spans="1:9" s="826" customFormat="1" ht="19.5" customHeight="1">
      <c r="A24" s="3401"/>
      <c r="B24" s="3401" t="s">
        <v>563</v>
      </c>
      <c r="C24" s="822" t="s">
        <v>573</v>
      </c>
      <c r="D24" s="823"/>
      <c r="E24" s="821">
        <v>0.5</v>
      </c>
      <c r="F24" s="824"/>
      <c r="G24" s="825"/>
      <c r="H24" s="817"/>
      <c r="I24" s="817"/>
    </row>
    <row r="25" spans="1:9" s="826" customFormat="1" ht="19.5" customHeight="1">
      <c r="A25" s="3401"/>
      <c r="B25" s="3401"/>
      <c r="C25" s="822" t="s">
        <v>574</v>
      </c>
      <c r="D25" s="823"/>
      <c r="E25" s="821">
        <v>1.1000000000000001</v>
      </c>
      <c r="F25" s="824"/>
      <c r="G25" s="825"/>
      <c r="H25" s="817"/>
      <c r="I25" s="817"/>
    </row>
    <row r="26" spans="1:9" s="826" customFormat="1" ht="19.5" customHeight="1">
      <c r="A26" s="3401"/>
      <c r="B26" s="3401"/>
      <c r="C26" s="822" t="s">
        <v>575</v>
      </c>
      <c r="D26" s="823"/>
      <c r="E26" s="821">
        <v>1.1000000000000001</v>
      </c>
      <c r="F26" s="824"/>
      <c r="G26" s="825"/>
      <c r="H26" s="817"/>
      <c r="I26" s="817"/>
    </row>
    <row r="27" spans="1:9" s="826" customFormat="1" ht="19.5" customHeight="1">
      <c r="A27" s="3401"/>
      <c r="B27" s="3401"/>
      <c r="C27" s="822" t="s">
        <v>576</v>
      </c>
      <c r="D27" s="823"/>
      <c r="E27" s="821">
        <v>0.9</v>
      </c>
      <c r="F27" s="824" t="s">
        <v>577</v>
      </c>
      <c r="G27" s="825"/>
      <c r="H27" s="817"/>
      <c r="I27" s="817"/>
    </row>
    <row r="28" spans="1:9" s="826" customFormat="1" ht="19.5" customHeight="1">
      <c r="A28" s="3401"/>
      <c r="B28" s="3401"/>
      <c r="C28" s="822" t="s">
        <v>578</v>
      </c>
      <c r="D28" s="823"/>
      <c r="E28" s="821">
        <v>0.9</v>
      </c>
      <c r="F28" s="824" t="s">
        <v>579</v>
      </c>
      <c r="G28" s="825"/>
      <c r="H28" s="817"/>
      <c r="I28" s="817"/>
    </row>
    <row r="29" spans="1:9" s="826" customFormat="1" ht="19.5" customHeight="1">
      <c r="A29" s="3401"/>
      <c r="B29" s="3401"/>
      <c r="C29" s="822" t="s">
        <v>580</v>
      </c>
      <c r="D29" s="823"/>
      <c r="E29" s="821">
        <v>0.9</v>
      </c>
      <c r="F29" s="824" t="s">
        <v>581</v>
      </c>
      <c r="G29" s="825"/>
      <c r="H29" s="817"/>
      <c r="I29" s="817"/>
    </row>
    <row r="30" spans="1:9" s="826" customFormat="1" ht="19.5" customHeight="1">
      <c r="A30" s="3401"/>
      <c r="B30" s="3401"/>
      <c r="C30" s="822" t="s">
        <v>582</v>
      </c>
      <c r="D30" s="823"/>
      <c r="E30" s="821">
        <v>0.9</v>
      </c>
      <c r="F30" s="824" t="s">
        <v>583</v>
      </c>
      <c r="G30" s="825"/>
      <c r="H30" s="817"/>
      <c r="I30" s="817"/>
    </row>
    <row r="31" spans="1:9" s="826" customFormat="1" ht="19.5" customHeight="1">
      <c r="A31" s="3401"/>
      <c r="B31" s="3401"/>
      <c r="C31" s="822" t="s">
        <v>584</v>
      </c>
      <c r="D31" s="823"/>
      <c r="E31" s="821">
        <v>0.8</v>
      </c>
      <c r="F31" s="824" t="s">
        <v>585</v>
      </c>
      <c r="G31" s="825"/>
      <c r="H31" s="817"/>
      <c r="I31" s="817"/>
    </row>
    <row r="32" spans="1:9" s="826" customFormat="1" ht="19.5" customHeight="1">
      <c r="A32" s="3401"/>
      <c r="B32" s="3401"/>
      <c r="C32" s="822" t="s">
        <v>586</v>
      </c>
      <c r="D32" s="823"/>
      <c r="E32" s="821">
        <v>0.8</v>
      </c>
      <c r="F32" s="824" t="s">
        <v>587</v>
      </c>
      <c r="G32" s="825"/>
      <c r="H32" s="817"/>
      <c r="I32" s="817"/>
    </row>
    <row r="33" spans="1:9" s="826" customFormat="1" ht="19.5" customHeight="1">
      <c r="A33" s="3401" t="s">
        <v>185</v>
      </c>
      <c r="B33" s="821" t="s">
        <v>560</v>
      </c>
      <c r="C33" s="822" t="s">
        <v>588</v>
      </c>
      <c r="D33" s="823"/>
      <c r="E33" s="821">
        <v>1</v>
      </c>
      <c r="F33" s="824" t="s">
        <v>589</v>
      </c>
      <c r="G33" s="825"/>
      <c r="H33" s="817"/>
      <c r="I33" s="817"/>
    </row>
    <row r="34" spans="1:9" s="826" customFormat="1" ht="19.5" customHeight="1">
      <c r="A34" s="3401"/>
      <c r="B34" s="821" t="s">
        <v>563</v>
      </c>
      <c r="C34" s="822" t="s">
        <v>590</v>
      </c>
      <c r="D34" s="823"/>
      <c r="E34" s="821">
        <v>1.5</v>
      </c>
      <c r="F34" s="824" t="s">
        <v>591</v>
      </c>
      <c r="G34" s="825"/>
      <c r="H34" s="817"/>
      <c r="I34" s="817"/>
    </row>
    <row r="35" spans="1:9" s="826" customFormat="1" ht="19.5" customHeight="1">
      <c r="A35" s="3401" t="s">
        <v>186</v>
      </c>
      <c r="B35" s="821" t="s">
        <v>560</v>
      </c>
      <c r="C35" s="822" t="s">
        <v>592</v>
      </c>
      <c r="D35" s="823"/>
      <c r="E35" s="821">
        <v>1</v>
      </c>
      <c r="F35" s="824" t="s">
        <v>593</v>
      </c>
      <c r="G35" s="825"/>
      <c r="H35" s="817"/>
      <c r="I35" s="817"/>
    </row>
    <row r="36" spans="1:9" s="826" customFormat="1" ht="19.5" customHeight="1">
      <c r="A36" s="3401"/>
      <c r="B36" s="3401" t="s">
        <v>563</v>
      </c>
      <c r="C36" s="822" t="s">
        <v>594</v>
      </c>
      <c r="D36" s="823"/>
      <c r="E36" s="821">
        <v>1</v>
      </c>
      <c r="F36" s="824" t="s">
        <v>595</v>
      </c>
      <c r="G36" s="825"/>
      <c r="H36" s="817"/>
      <c r="I36" s="817"/>
    </row>
    <row r="37" spans="1:9" s="826" customFormat="1" ht="19.5" customHeight="1">
      <c r="A37" s="3401"/>
      <c r="B37" s="3401"/>
      <c r="C37" s="822" t="s">
        <v>596</v>
      </c>
      <c r="D37" s="823"/>
      <c r="E37" s="821">
        <v>1.5</v>
      </c>
      <c r="F37" s="824" t="s">
        <v>597</v>
      </c>
      <c r="G37" s="825"/>
      <c r="H37" s="817"/>
      <c r="I37" s="817"/>
    </row>
    <row r="38" spans="1:9" s="826" customFormat="1" ht="19.5" customHeight="1">
      <c r="A38" s="3401"/>
      <c r="B38" s="3401"/>
      <c r="C38" s="822" t="s">
        <v>598</v>
      </c>
      <c r="D38" s="823"/>
      <c r="E38" s="821">
        <v>1</v>
      </c>
      <c r="F38" s="824" t="s">
        <v>599</v>
      </c>
      <c r="G38" s="825"/>
      <c r="H38" s="817"/>
      <c r="I38" s="817"/>
    </row>
    <row r="39" spans="1:9" s="826" customFormat="1" ht="19.5" customHeight="1">
      <c r="A39" s="3401"/>
      <c r="B39" s="34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1" t="s">
        <v>614</v>
      </c>
      <c r="C61" s="757" t="s">
        <v>615</v>
      </c>
      <c r="D61" s="757" t="s">
        <v>616</v>
      </c>
      <c r="E61" s="834">
        <v>0.5</v>
      </c>
      <c r="F61" s="821">
        <v>80</v>
      </c>
    </row>
    <row r="62" spans="1:8" s="817" customFormat="1" ht="24">
      <c r="A62" s="821">
        <v>2</v>
      </c>
      <c r="B62" s="3401"/>
      <c r="C62" s="757" t="s">
        <v>617</v>
      </c>
      <c r="D62" s="757" t="s">
        <v>618</v>
      </c>
      <c r="E62" s="834">
        <v>0.5</v>
      </c>
      <c r="F62" s="821">
        <v>80</v>
      </c>
    </row>
    <row r="63" spans="1:8" s="817" customFormat="1" ht="36">
      <c r="A63" s="821">
        <v>3</v>
      </c>
      <c r="B63" s="3401"/>
      <c r="C63" s="757" t="s">
        <v>619</v>
      </c>
      <c r="D63" s="757" t="s">
        <v>620</v>
      </c>
      <c r="E63" s="834">
        <v>0.5</v>
      </c>
      <c r="F63" s="821">
        <v>80</v>
      </c>
    </row>
    <row r="64" spans="1:8" s="817" customFormat="1" ht="36">
      <c r="A64" s="821">
        <v>4</v>
      </c>
      <c r="B64" s="3401"/>
      <c r="C64" s="757" t="s">
        <v>621</v>
      </c>
      <c r="D64" s="757" t="s">
        <v>622</v>
      </c>
      <c r="E64" s="834">
        <v>0.4</v>
      </c>
      <c r="F64" s="821">
        <v>60</v>
      </c>
    </row>
    <row r="65" spans="1:6" s="817" customFormat="1" ht="36">
      <c r="A65" s="821">
        <v>5</v>
      </c>
      <c r="B65" s="3401"/>
      <c r="C65" s="757" t="s">
        <v>623</v>
      </c>
      <c r="D65" s="757" t="s">
        <v>624</v>
      </c>
      <c r="E65" s="834">
        <v>0.2</v>
      </c>
      <c r="F65" s="821">
        <v>30</v>
      </c>
    </row>
    <row r="66" spans="1:6" s="817" customFormat="1" ht="36">
      <c r="A66" s="821">
        <v>6</v>
      </c>
      <c r="B66" s="3401"/>
      <c r="C66" s="757" t="s">
        <v>625</v>
      </c>
      <c r="D66" s="757" t="s">
        <v>626</v>
      </c>
      <c r="E66" s="834">
        <v>0.3</v>
      </c>
      <c r="F66" s="821">
        <v>50</v>
      </c>
    </row>
    <row r="67" spans="1:6" s="817" customFormat="1" ht="36">
      <c r="A67" s="821">
        <v>7</v>
      </c>
      <c r="B67" s="3401"/>
      <c r="C67" s="757" t="s">
        <v>627</v>
      </c>
      <c r="D67" s="757" t="s">
        <v>628</v>
      </c>
      <c r="E67" s="834">
        <v>0.2</v>
      </c>
      <c r="F67" s="821">
        <v>30</v>
      </c>
    </row>
    <row r="68" spans="1:6" s="817" customFormat="1" ht="36">
      <c r="A68" s="821">
        <v>8</v>
      </c>
      <c r="B68" s="3401"/>
      <c r="C68" s="757" t="s">
        <v>629</v>
      </c>
      <c r="D68" s="757" t="s">
        <v>630</v>
      </c>
      <c r="E68" s="834">
        <v>0.2</v>
      </c>
      <c r="F68" s="821">
        <v>30</v>
      </c>
    </row>
    <row r="69" spans="1:6" s="817" customFormat="1" ht="36">
      <c r="A69" s="821">
        <v>9</v>
      </c>
      <c r="B69" s="3401"/>
      <c r="C69" s="757" t="s">
        <v>631</v>
      </c>
      <c r="D69" s="757" t="s">
        <v>632</v>
      </c>
      <c r="E69" s="834">
        <v>0.2</v>
      </c>
      <c r="F69" s="821">
        <v>30</v>
      </c>
    </row>
    <row r="70" spans="1:6" s="817" customFormat="1" ht="48">
      <c r="A70" s="821">
        <v>10</v>
      </c>
      <c r="B70" s="3401"/>
      <c r="C70" s="757" t="s">
        <v>633</v>
      </c>
      <c r="D70" s="757" t="s">
        <v>634</v>
      </c>
      <c r="E70" s="834">
        <v>0.2</v>
      </c>
      <c r="F70" s="821">
        <v>30</v>
      </c>
    </row>
    <row r="71" spans="1:6" s="817" customFormat="1" ht="48">
      <c r="A71" s="821">
        <v>11</v>
      </c>
      <c r="B71" s="3401"/>
      <c r="C71" s="757" t="s">
        <v>635</v>
      </c>
      <c r="D71" s="757" t="s">
        <v>636</v>
      </c>
      <c r="E71" s="834">
        <v>0.2</v>
      </c>
      <c r="F71" s="821">
        <v>30</v>
      </c>
    </row>
    <row r="72" spans="1:6" s="817" customFormat="1" ht="36">
      <c r="A72" s="821">
        <v>12</v>
      </c>
      <c r="B72" s="3401"/>
      <c r="C72" s="757" t="s">
        <v>637</v>
      </c>
      <c r="D72" s="757" t="s">
        <v>638</v>
      </c>
      <c r="E72" s="834">
        <v>0.5</v>
      </c>
      <c r="F72" s="821">
        <v>80</v>
      </c>
    </row>
    <row r="73" spans="1:6" s="817" customFormat="1" ht="24">
      <c r="A73" s="821">
        <v>13</v>
      </c>
      <c r="B73" s="3401"/>
      <c r="C73" s="757" t="s">
        <v>639</v>
      </c>
      <c r="D73" s="757" t="s">
        <v>640</v>
      </c>
      <c r="E73" s="834">
        <v>0.4</v>
      </c>
      <c r="F73" s="821">
        <v>60</v>
      </c>
    </row>
    <row r="74" spans="1:6" s="817" customFormat="1" ht="24">
      <c r="A74" s="821">
        <v>14</v>
      </c>
      <c r="B74" s="3401"/>
      <c r="C74" s="757" t="s">
        <v>641</v>
      </c>
      <c r="D74" s="757" t="s">
        <v>642</v>
      </c>
      <c r="E74" s="834">
        <v>0.2</v>
      </c>
      <c r="F74" s="821">
        <v>30</v>
      </c>
    </row>
    <row r="75" spans="1:6" s="817" customFormat="1" ht="24">
      <c r="A75" s="821">
        <v>15</v>
      </c>
      <c r="B75" s="3401"/>
      <c r="C75" s="757" t="s">
        <v>643</v>
      </c>
      <c r="D75" s="757" t="s">
        <v>644</v>
      </c>
      <c r="E75" s="834">
        <v>0.2</v>
      </c>
      <c r="F75" s="821">
        <v>30</v>
      </c>
    </row>
    <row r="76" spans="1:6" s="817" customFormat="1" ht="24">
      <c r="A76" s="821">
        <v>16</v>
      </c>
      <c r="B76" s="3401" t="s">
        <v>645</v>
      </c>
      <c r="C76" s="757" t="s">
        <v>646</v>
      </c>
      <c r="D76" s="757" t="s">
        <v>647</v>
      </c>
      <c r="E76" s="834">
        <v>0.5</v>
      </c>
      <c r="F76" s="821">
        <v>80</v>
      </c>
    </row>
    <row r="77" spans="1:6" s="817" customFormat="1" ht="24">
      <c r="A77" s="821">
        <v>17</v>
      </c>
      <c r="B77" s="3401"/>
      <c r="C77" s="757" t="s">
        <v>648</v>
      </c>
      <c r="D77" s="757" t="s">
        <v>649</v>
      </c>
      <c r="E77" s="834">
        <v>0.5</v>
      </c>
      <c r="F77" s="821">
        <v>80</v>
      </c>
    </row>
    <row r="78" spans="1:6" s="817" customFormat="1" ht="24">
      <c r="A78" s="821">
        <v>18</v>
      </c>
      <c r="B78" s="3401"/>
      <c r="C78" s="757" t="s">
        <v>650</v>
      </c>
      <c r="D78" s="757" t="s">
        <v>651</v>
      </c>
      <c r="E78" s="834">
        <v>0.2</v>
      </c>
      <c r="F78" s="821">
        <v>30</v>
      </c>
    </row>
    <row r="79" spans="1:6" s="817" customFormat="1" ht="24">
      <c r="A79" s="821">
        <v>19</v>
      </c>
      <c r="B79" s="3401"/>
      <c r="C79" s="757" t="s">
        <v>652</v>
      </c>
      <c r="D79" s="757" t="s">
        <v>653</v>
      </c>
      <c r="E79" s="834">
        <v>0.5</v>
      </c>
      <c r="F79" s="821">
        <v>80</v>
      </c>
    </row>
    <row r="80" spans="1:6" s="817" customFormat="1" ht="36">
      <c r="A80" s="821">
        <v>20</v>
      </c>
      <c r="B80" s="3401"/>
      <c r="C80" s="757" t="s">
        <v>654</v>
      </c>
      <c r="D80" s="757" t="s">
        <v>655</v>
      </c>
      <c r="E80" s="834">
        <v>0.2</v>
      </c>
      <c r="F80" s="821">
        <v>30</v>
      </c>
    </row>
    <row r="81" spans="1:6" s="817" customFormat="1" ht="36">
      <c r="A81" s="821">
        <v>21</v>
      </c>
      <c r="B81" s="3401"/>
      <c r="C81" s="757" t="s">
        <v>656</v>
      </c>
      <c r="D81" s="757" t="s">
        <v>657</v>
      </c>
      <c r="E81" s="834">
        <v>0.2</v>
      </c>
      <c r="F81" s="821">
        <v>30</v>
      </c>
    </row>
    <row r="82" spans="1:6" s="817" customFormat="1" ht="48">
      <c r="A82" s="821">
        <v>22</v>
      </c>
      <c r="B82" s="3401"/>
      <c r="C82" s="757" t="s">
        <v>658</v>
      </c>
      <c r="D82" s="757" t="s">
        <v>659</v>
      </c>
      <c r="E82" s="834">
        <v>0.2</v>
      </c>
      <c r="F82" s="821">
        <v>30</v>
      </c>
    </row>
    <row r="83" spans="1:6" s="817" customFormat="1" ht="48">
      <c r="A83" s="821">
        <v>23</v>
      </c>
      <c r="B83" s="3401"/>
      <c r="C83" s="757" t="s">
        <v>660</v>
      </c>
      <c r="D83" s="757" t="s">
        <v>661</v>
      </c>
      <c r="E83" s="834">
        <v>0.2</v>
      </c>
      <c r="F83" s="821">
        <v>30</v>
      </c>
    </row>
    <row r="84" spans="1:6" s="817" customFormat="1" ht="36">
      <c r="A84" s="821">
        <v>24</v>
      </c>
      <c r="B84" s="3401"/>
      <c r="C84" s="757" t="s">
        <v>662</v>
      </c>
      <c r="D84" s="757" t="s">
        <v>663</v>
      </c>
      <c r="E84" s="834">
        <v>0.2</v>
      </c>
      <c r="F84" s="821">
        <v>30</v>
      </c>
    </row>
    <row r="85" spans="1:6" s="817" customFormat="1" ht="36">
      <c r="A85" s="821">
        <v>25</v>
      </c>
      <c r="B85" s="3401"/>
      <c r="C85" s="757" t="s">
        <v>664</v>
      </c>
      <c r="D85" s="757" t="s">
        <v>665</v>
      </c>
      <c r="E85" s="834">
        <v>0.5</v>
      </c>
      <c r="F85" s="821">
        <v>80</v>
      </c>
    </row>
    <row r="86" spans="1:6" s="817" customFormat="1" ht="36">
      <c r="A86" s="821">
        <v>26</v>
      </c>
      <c r="B86" s="3401"/>
      <c r="C86" s="757" t="s">
        <v>666</v>
      </c>
      <c r="D86" s="757" t="s">
        <v>667</v>
      </c>
      <c r="E86" s="834">
        <v>0.2</v>
      </c>
      <c r="F86" s="821">
        <v>30</v>
      </c>
    </row>
    <row r="87" spans="1:6" s="817" customFormat="1" ht="36">
      <c r="A87" s="821">
        <v>27</v>
      </c>
      <c r="B87" s="3401"/>
      <c r="C87" s="757" t="s">
        <v>668</v>
      </c>
      <c r="D87" s="757" t="s">
        <v>669</v>
      </c>
      <c r="E87" s="834">
        <v>0.2</v>
      </c>
      <c r="F87" s="821">
        <v>30</v>
      </c>
    </row>
    <row r="88" spans="1:6" s="817" customFormat="1" ht="36">
      <c r="A88" s="821">
        <v>28</v>
      </c>
      <c r="B88" s="3401"/>
      <c r="C88" s="757" t="s">
        <v>670</v>
      </c>
      <c r="D88" s="757" t="s">
        <v>671</v>
      </c>
      <c r="E88" s="834">
        <v>0.2</v>
      </c>
      <c r="F88" s="821">
        <v>30</v>
      </c>
    </row>
    <row r="89" spans="1:6" s="817" customFormat="1" ht="24">
      <c r="A89" s="821">
        <v>29</v>
      </c>
      <c r="B89" s="3401"/>
      <c r="C89" s="757" t="s">
        <v>672</v>
      </c>
      <c r="D89" s="757" t="s">
        <v>673</v>
      </c>
      <c r="E89" s="834">
        <v>0.2</v>
      </c>
      <c r="F89" s="821">
        <v>30</v>
      </c>
    </row>
    <row r="90" spans="1:6" s="817" customFormat="1" ht="24">
      <c r="A90" s="821">
        <v>30</v>
      </c>
      <c r="B90" s="3401"/>
      <c r="C90" s="757" t="s">
        <v>674</v>
      </c>
      <c r="D90" s="757" t="s">
        <v>675</v>
      </c>
      <c r="E90" s="834">
        <v>0.2</v>
      </c>
      <c r="F90" s="821">
        <v>30</v>
      </c>
    </row>
    <row r="91" spans="1:6" s="817" customFormat="1" ht="36">
      <c r="A91" s="821">
        <v>31</v>
      </c>
      <c r="B91" s="3401"/>
      <c r="C91" s="757" t="s">
        <v>676</v>
      </c>
      <c r="D91" s="757" t="s">
        <v>677</v>
      </c>
      <c r="E91" s="834">
        <v>0.2</v>
      </c>
      <c r="F91" s="821">
        <v>30</v>
      </c>
    </row>
    <row r="92" spans="1:6" s="817" customFormat="1" ht="24">
      <c r="A92" s="821">
        <v>32</v>
      </c>
      <c r="B92" s="3401" t="s">
        <v>678</v>
      </c>
      <c r="C92" s="821" t="s">
        <v>679</v>
      </c>
      <c r="D92" s="757" t="s">
        <v>680</v>
      </c>
      <c r="E92" s="834">
        <v>0.2</v>
      </c>
      <c r="F92" s="821">
        <v>30</v>
      </c>
    </row>
    <row r="93" spans="1:6" s="817" customFormat="1" ht="36">
      <c r="A93" s="821">
        <v>33</v>
      </c>
      <c r="B93" s="3401"/>
      <c r="C93" s="821" t="s">
        <v>681</v>
      </c>
      <c r="D93" s="757" t="s">
        <v>682</v>
      </c>
      <c r="E93" s="834">
        <v>0.2</v>
      </c>
      <c r="F93" s="821">
        <v>30</v>
      </c>
    </row>
    <row r="94" spans="1:6" s="817" customFormat="1" ht="48">
      <c r="A94" s="821">
        <v>34</v>
      </c>
      <c r="B94" s="3401"/>
      <c r="C94" s="821" t="s">
        <v>683</v>
      </c>
      <c r="D94" s="757" t="s">
        <v>684</v>
      </c>
      <c r="E94" s="834">
        <v>0.2</v>
      </c>
      <c r="F94" s="821">
        <v>30</v>
      </c>
    </row>
    <row r="95" spans="1:6" s="817" customFormat="1" ht="36">
      <c r="A95" s="821">
        <v>35</v>
      </c>
      <c r="B95" s="3401"/>
      <c r="C95" s="821" t="s">
        <v>685</v>
      </c>
      <c r="D95" s="757" t="s">
        <v>686</v>
      </c>
      <c r="E95" s="834">
        <v>0.2</v>
      </c>
      <c r="F95" s="821">
        <v>30</v>
      </c>
    </row>
    <row r="96" spans="1:6" s="817" customFormat="1" ht="48">
      <c r="A96" s="821">
        <v>36</v>
      </c>
      <c r="B96" s="3401"/>
      <c r="C96" s="757" t="s">
        <v>687</v>
      </c>
      <c r="D96" s="757" t="s">
        <v>688</v>
      </c>
      <c r="E96" s="834">
        <v>0.2</v>
      </c>
      <c r="F96" s="821">
        <v>30</v>
      </c>
    </row>
    <row r="97" spans="1:6" s="817" customFormat="1" ht="36">
      <c r="A97" s="821">
        <v>37</v>
      </c>
      <c r="B97" s="3401"/>
      <c r="C97" s="821" t="s">
        <v>689</v>
      </c>
      <c r="D97" s="757" t="s">
        <v>690</v>
      </c>
      <c r="E97" s="834">
        <v>0.2</v>
      </c>
      <c r="F97" s="821">
        <v>30</v>
      </c>
    </row>
    <row r="98" spans="1:6" s="817" customFormat="1" ht="36">
      <c r="A98" s="821">
        <v>38</v>
      </c>
      <c r="B98" s="3401"/>
      <c r="C98" s="821" t="s">
        <v>691</v>
      </c>
      <c r="D98" s="757" t="s">
        <v>692</v>
      </c>
      <c r="E98" s="834">
        <v>0.2</v>
      </c>
      <c r="F98" s="821">
        <v>30</v>
      </c>
    </row>
    <row r="99" spans="1:6" s="817" customFormat="1" ht="36">
      <c r="A99" s="821">
        <v>39</v>
      </c>
      <c r="B99" s="3401" t="s">
        <v>693</v>
      </c>
      <c r="C99" s="821" t="s">
        <v>694</v>
      </c>
      <c r="D99" s="757" t="s">
        <v>695</v>
      </c>
      <c r="E99" s="834">
        <v>0.3</v>
      </c>
      <c r="F99" s="821">
        <v>50</v>
      </c>
    </row>
    <row r="100" spans="1:6" s="817" customFormat="1" ht="24">
      <c r="A100" s="821">
        <v>40</v>
      </c>
      <c r="B100" s="3401"/>
      <c r="C100" s="821" t="s">
        <v>696</v>
      </c>
      <c r="D100" s="757" t="s">
        <v>697</v>
      </c>
      <c r="E100" s="834">
        <v>0.2</v>
      </c>
      <c r="F100" s="821">
        <v>30</v>
      </c>
    </row>
    <row r="101" spans="1:6" s="817" customFormat="1" ht="36">
      <c r="A101" s="821">
        <v>41</v>
      </c>
      <c r="B101" s="340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1" t="s">
        <v>708</v>
      </c>
      <c r="C105" s="821" t="s">
        <v>709</v>
      </c>
      <c r="D105" s="757" t="s">
        <v>710</v>
      </c>
      <c r="E105" s="834">
        <v>0.2</v>
      </c>
      <c r="F105" s="821">
        <v>30</v>
      </c>
    </row>
    <row r="106" spans="1:6" s="817" customFormat="1" ht="36">
      <c r="A106" s="821">
        <v>46</v>
      </c>
      <c r="B106" s="3401"/>
      <c r="C106" s="821" t="s">
        <v>711</v>
      </c>
      <c r="D106" s="757" t="s">
        <v>712</v>
      </c>
      <c r="E106" s="834">
        <v>0.2</v>
      </c>
      <c r="F106" s="821">
        <v>30</v>
      </c>
    </row>
    <row r="107" spans="1:6" s="817" customFormat="1" ht="36">
      <c r="A107" s="821">
        <v>47</v>
      </c>
      <c r="B107" s="3401" t="s">
        <v>713</v>
      </c>
      <c r="C107" s="821" t="s">
        <v>714</v>
      </c>
      <c r="D107" s="757" t="s">
        <v>715</v>
      </c>
      <c r="E107" s="834">
        <v>0.3</v>
      </c>
      <c r="F107" s="821">
        <v>50</v>
      </c>
    </row>
    <row r="108" spans="1:6" s="817" customFormat="1" ht="36">
      <c r="A108" s="821">
        <v>48</v>
      </c>
      <c r="B108" s="34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1" t="s">
        <v>724</v>
      </c>
      <c r="C111" s="821" t="s">
        <v>725</v>
      </c>
      <c r="D111" s="757" t="s">
        <v>726</v>
      </c>
      <c r="E111" s="834">
        <v>0.2</v>
      </c>
      <c r="F111" s="821">
        <v>30</v>
      </c>
    </row>
    <row r="112" spans="1:6" s="817" customFormat="1" ht="24">
      <c r="A112" s="821">
        <v>52</v>
      </c>
      <c r="B112" s="3401"/>
      <c r="C112" s="821" t="s">
        <v>727</v>
      </c>
      <c r="D112" s="757" t="s">
        <v>728</v>
      </c>
      <c r="E112" s="834">
        <v>0.2</v>
      </c>
      <c r="F112" s="821">
        <v>30</v>
      </c>
    </row>
    <row r="113" spans="1:6" s="817" customFormat="1" ht="24">
      <c r="A113" s="821">
        <v>53</v>
      </c>
      <c r="B113" s="340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1" t="s">
        <v>737</v>
      </c>
      <c r="C116" s="821" t="s">
        <v>738</v>
      </c>
      <c r="D116" s="757" t="s">
        <v>739</v>
      </c>
      <c r="E116" s="834">
        <v>0.2</v>
      </c>
      <c r="F116" s="821">
        <v>30</v>
      </c>
    </row>
    <row r="117" spans="1:6" ht="36">
      <c r="A117" s="821">
        <v>57</v>
      </c>
      <c r="B117" s="340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6.3935000000000004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M33" sqref="M33"/>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375" style="2184" bestFit="1" customWidth="1"/>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2101.7799999999988</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1776</v>
      </c>
      <c r="C2" s="2185" t="s">
        <v>2634</v>
      </c>
      <c r="D2" s="2186" t="s">
        <v>2635</v>
      </c>
      <c r="E2" s="2187" t="s">
        <v>6</v>
      </c>
      <c r="F2" s="2186" t="s">
        <v>2636</v>
      </c>
      <c r="G2" s="2188" t="str">
        <f>IF(E2="商业",项目基本情况!B37,IF(E2="办公",项目基本情况!C37,IF(E2="住宅",项目基本情况!D37,项目基本情况!E37)))</f>
        <v>六级</v>
      </c>
      <c r="H2" s="2186" t="s">
        <v>2637</v>
      </c>
      <c r="I2" s="2188" t="str">
        <f>IF(E2="商业",项目基本情况!B38,IF(E2="办公",项目基本情况!C38,IF(E2="住宅",项目基本情况!D38,项目基本情况!E38)))</f>
        <v>Ⅵ-兴1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6.8996000000000004</v>
      </c>
      <c r="T2" s="1374">
        <f>ROUND($C$5*$C$18*$C$19*$C$20*S2*$C$24,0)</f>
        <v>13683</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8450</v>
      </c>
      <c r="C3" s="2185" t="s">
        <v>2640</v>
      </c>
      <c r="D3" s="2186" t="s">
        <v>2641</v>
      </c>
      <c r="E3" s="2191" t="s">
        <v>3105</v>
      </c>
      <c r="F3" s="2192" t="s">
        <v>2642</v>
      </c>
      <c r="G3" s="855">
        <f>IF(F3="宗地容积率",'数据-汇总表'!I4,IF(F3="估价对象容积率",'数据-汇总表'!I6,'数据-汇总表'!I7))</f>
        <v>0.27</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4.9526000000000003</v>
      </c>
      <c r="T3" s="1374">
        <f t="shared" ref="T3:T16" si="0">ROUND($C$5*$C$18*$C$19*$C$20*S3*$C$24,0)</f>
        <v>9822</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90"/>
      <c r="B4" s="3391"/>
      <c r="C4" s="3391"/>
      <c r="D4" s="3392"/>
      <c r="E4" s="3392"/>
      <c r="F4" s="3392"/>
      <c r="G4" s="3392"/>
      <c r="H4" s="3392"/>
      <c r="I4" s="3392"/>
      <c r="J4" s="3393"/>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3.9956</v>
      </c>
      <c r="T4" s="1374">
        <f t="shared" si="0"/>
        <v>7924</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1658</v>
      </c>
      <c r="D5" s="1523">
        <f>ROUND(C6+C16,0)</f>
        <v>1658</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3.2059000000000002</v>
      </c>
      <c r="T5" s="1374">
        <f t="shared" si="0"/>
        <v>6358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1700</v>
      </c>
      <c r="D6" s="2205" t="s">
        <v>2651</v>
      </c>
      <c r="E6" s="2206"/>
      <c r="F6" s="2206"/>
      <c r="G6" s="2207"/>
      <c r="H6" s="2207"/>
      <c r="I6" s="2207"/>
      <c r="J6" s="2208"/>
      <c r="K6" s="1568"/>
      <c r="L6" s="2190" t="s">
        <v>2652</v>
      </c>
      <c r="M6" s="995">
        <f>SUMPRODUCT((区片价!B110:B157=I2)*(区片价!C3:F3=E2)*(区片价!C110:F157))</f>
        <v>1700</v>
      </c>
      <c r="N6" s="997">
        <f>SUMPRODUCT((因素修正幅度!B110:B157=I2)*(因素修正幅度!C3:F3=E2)*(因素修正幅度!C110:F157))</f>
        <v>0.13</v>
      </c>
      <c r="O6" s="1280"/>
      <c r="P6" s="1280"/>
      <c r="Q6" s="1280"/>
      <c r="R6" s="1374">
        <v>5</v>
      </c>
      <c r="S6" s="1374">
        <f>ROUND(IF(G3&gt;1,IF(R6&lt;7,SUMPRODUCT((B93:B98=R6)*(C92:N92=G2)*(C93:N98)),SUMIF(C92:N92,G2,C100:N100)),IF(R6&lt;7,SUMPRODUCT((B102:B107=R6)*(C92:N92=G2)*(C102:N107)),SUMIF(C92:N92,G2,C109:N109))),4)</f>
        <v>2.73</v>
      </c>
      <c r="T6" s="1374">
        <f t="shared" si="0"/>
        <v>5414</v>
      </c>
      <c r="U6" s="1375"/>
      <c r="V6" s="1374">
        <f t="shared" si="1"/>
        <v>0</v>
      </c>
      <c r="W6" s="1378"/>
      <c r="X6" s="1378"/>
      <c r="Y6" s="1378"/>
      <c r="Z6" s="1378"/>
      <c r="AA6" s="1378"/>
      <c r="AB6" s="1378"/>
      <c r="AC6" s="2199"/>
      <c r="AD6" s="2200"/>
      <c r="AE6" s="2200"/>
      <c r="AF6" s="2200"/>
      <c r="AG6" s="2200"/>
      <c r="AH6" s="2200"/>
      <c r="AI6" s="2200"/>
      <c r="AJ6" s="2201"/>
    </row>
    <row r="7" spans="1:36" ht="24">
      <c r="A7" s="3371" t="str">
        <f>IF(E2="商业",IF(C8="不临58条商业街","",2),"")</f>
        <v/>
      </c>
      <c r="B7" s="3064"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2.4007000000000001</v>
      </c>
      <c r="T7" s="1374">
        <f t="shared" si="0"/>
        <v>4761</v>
      </c>
      <c r="U7" s="1375"/>
      <c r="V7" s="1374">
        <f t="shared" si="1"/>
        <v>0</v>
      </c>
      <c r="W7" s="3071" t="s">
        <v>2656</v>
      </c>
      <c r="X7" s="1376" t="str">
        <f>G2</f>
        <v>六级</v>
      </c>
      <c r="Y7" s="1376" t="s">
        <v>2657</v>
      </c>
      <c r="Z7" s="1377">
        <f>G3</f>
        <v>0.27</v>
      </c>
      <c r="AA7" s="1378"/>
      <c r="AB7" s="1378"/>
      <c r="AC7" s="1379"/>
      <c r="AD7" s="1380"/>
      <c r="AE7" s="1380"/>
      <c r="AF7" s="1380"/>
      <c r="AG7" s="1380"/>
      <c r="AH7" s="1380"/>
      <c r="AI7" s="1380"/>
      <c r="AJ7" s="1381"/>
    </row>
    <row r="8" spans="1:36" ht="25.5">
      <c r="A8" s="3394"/>
      <c r="B8" s="175" t="s">
        <v>2658</v>
      </c>
      <c r="C8" s="2214" t="s">
        <v>3106</v>
      </c>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87" t="s">
        <v>2661</v>
      </c>
      <c r="X8" s="338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94"/>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89"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4"/>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8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4"/>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89" t="s">
        <v>2685</v>
      </c>
      <c r="X11" s="1386" t="s">
        <v>2657</v>
      </c>
      <c r="Y11" s="1387">
        <f>$G$3</f>
        <v>0.27</v>
      </c>
      <c r="Z11" s="1387">
        <f t="shared" ref="Z11:AJ11" si="3">$G$3</f>
        <v>0.27</v>
      </c>
      <c r="AA11" s="1387">
        <f t="shared" si="3"/>
        <v>0.27</v>
      </c>
      <c r="AB11" s="1387">
        <f t="shared" si="3"/>
        <v>0.27</v>
      </c>
      <c r="AC11" s="1387">
        <f t="shared" si="3"/>
        <v>0.27</v>
      </c>
      <c r="AD11" s="1387">
        <f t="shared" si="3"/>
        <v>0.27</v>
      </c>
      <c r="AE11" s="1387">
        <f t="shared" si="3"/>
        <v>0.27</v>
      </c>
      <c r="AF11" s="1387">
        <f t="shared" si="3"/>
        <v>0.27</v>
      </c>
      <c r="AG11" s="1387">
        <f t="shared" si="3"/>
        <v>0.27</v>
      </c>
      <c r="AH11" s="1387">
        <f t="shared" si="3"/>
        <v>0.27</v>
      </c>
      <c r="AI11" s="1387">
        <f t="shared" si="3"/>
        <v>0.27</v>
      </c>
      <c r="AJ11" s="1387">
        <f t="shared" si="3"/>
        <v>0.27</v>
      </c>
    </row>
    <row r="12" spans="1:36" ht="25.5" thickBot="1">
      <c r="A12" s="3371"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8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5"/>
      <c r="B13" s="3062" t="s">
        <v>2692</v>
      </c>
      <c r="C13" s="2229" t="s">
        <v>2693</v>
      </c>
      <c r="D13" s="3070" t="s">
        <v>2694</v>
      </c>
      <c r="E13" s="3070"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89"/>
      <c r="X13" s="1388"/>
      <c r="Y13" s="1385">
        <f>(-0.163*(Y12^2)-0.59*Y12+7617)*(10^(-4))/Y11</f>
        <v>2.8211111111111111</v>
      </c>
      <c r="Z13" s="1385">
        <f t="shared" ref="Z13:AJ13" si="5">(-0.163*(Z12^2)-0.59*Z12+7617)*(10^(-4))/Z11</f>
        <v>2.8211111111111111</v>
      </c>
      <c r="AA13" s="1385">
        <f t="shared" si="5"/>
        <v>2.8211111111111111</v>
      </c>
      <c r="AB13" s="1385">
        <f t="shared" si="5"/>
        <v>2.8211111111111111</v>
      </c>
      <c r="AC13" s="1385">
        <f t="shared" si="5"/>
        <v>2.8211111111111111</v>
      </c>
      <c r="AD13" s="1385">
        <f t="shared" si="5"/>
        <v>2.8211111111111111</v>
      </c>
      <c r="AE13" s="1385">
        <f t="shared" si="5"/>
        <v>2.8211111111111111</v>
      </c>
      <c r="AF13" s="1385">
        <f t="shared" si="5"/>
        <v>2.8211111111111111</v>
      </c>
      <c r="AG13" s="1385">
        <f t="shared" si="5"/>
        <v>2.8211111111111111</v>
      </c>
      <c r="AH13" s="1385">
        <f t="shared" si="5"/>
        <v>2.8211111111111111</v>
      </c>
      <c r="AI13" s="1385">
        <f t="shared" si="5"/>
        <v>2.8211111111111111</v>
      </c>
      <c r="AJ13" s="1385">
        <f t="shared" si="5"/>
        <v>2.8211111111111111</v>
      </c>
    </row>
    <row r="14" spans="1:36" ht="15">
      <c r="A14" s="3395"/>
      <c r="B14" s="3063"/>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96"/>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71" t="s">
        <v>2704</v>
      </c>
      <c r="B16" s="3064" t="s">
        <v>2705</v>
      </c>
      <c r="C16" s="2371">
        <f>ROUND(IF(F17="与级别开发程度一致",0,(G17-E17)/C17),0)</f>
        <v>-42</v>
      </c>
      <c r="D16" s="3384" t="s">
        <v>2709</v>
      </c>
      <c r="E16" s="3385"/>
      <c r="F16" s="3384" t="s">
        <v>2706</v>
      </c>
      <c r="G16" s="3385"/>
      <c r="H16" s="2241" t="s">
        <v>3108</v>
      </c>
      <c r="I16" s="2241" t="s">
        <v>3109</v>
      </c>
      <c r="J16" s="2375" t="s">
        <v>3110</v>
      </c>
      <c r="K16" s="2241" t="s">
        <v>3111</v>
      </c>
      <c r="L16" s="2241" t="s">
        <v>3112</v>
      </c>
      <c r="M16" s="2241" t="s">
        <v>3114</v>
      </c>
      <c r="N16" s="2241"/>
      <c r="O16" s="2242" t="s">
        <v>3113</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72"/>
      <c r="B17" s="2382" t="s">
        <v>2708</v>
      </c>
      <c r="C17" s="2383">
        <f>SUMPRODUCT((修正!A2:A5=E2)*(修正!B1:M1=G2)*(修正!B2:M5))</f>
        <v>1.2</v>
      </c>
      <c r="D17" s="193" t="str">
        <f>IF(OR(G2="八级",G2="九级",G2="十级",G2="十一级",G2="十二级"),"五通一平","七通一平")</f>
        <v>七通一平</v>
      </c>
      <c r="E17" s="2372">
        <f>SUMPRODUCT((修正!B1:M1=G2)*(修正!B15:M15))</f>
        <v>300</v>
      </c>
      <c r="F17" s="2373" t="s">
        <v>3107</v>
      </c>
      <c r="G17" s="2374">
        <f>SUM(H17:O17)</f>
        <v>250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40</v>
      </c>
      <c r="N17" s="2383">
        <f>SUMPRODUCT((七通一平=N16)*(修正!B1:M1=G2)*(修正!B6:M14))</f>
        <v>0</v>
      </c>
      <c r="O17" s="2385">
        <f>SUMPRODUCT((七通一平=O16)*(修正!B1:M1=G2)*(修正!B6:M14))</f>
        <v>15</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2712</v>
      </c>
      <c r="C19" s="863">
        <f>ROUND(IF(H19="按公示增长率计算",SUMPRODUCT((地价!A3:A36=YEAR(G19)&amp;"-"&amp;ROUNDUP(MONTH(G19)/3,0))*(地价!X2:AB2=E2)*(地价!X3:AB36)),IF(H19="地价指数",M20/M19,(1+I19)^O19)),4)</f>
        <v>1.4529000000000001</v>
      </c>
      <c r="D19" s="2251" t="s">
        <v>2713</v>
      </c>
      <c r="E19" s="864">
        <v>41640</v>
      </c>
      <c r="F19" s="2251" t="s">
        <v>2714</v>
      </c>
      <c r="G19" s="865">
        <f>'数据-取费表'!B2</f>
        <v>44512</v>
      </c>
      <c r="H19" s="2252" t="s">
        <v>3115</v>
      </c>
      <c r="I19" s="866" t="str">
        <f>IF(H19="季度增幅（自定义）",SUMIF(N21:N24,E2,O21:O24),"")</f>
        <v/>
      </c>
      <c r="J19" s="2249"/>
      <c r="K19" s="1287"/>
      <c r="L19" s="2253" t="s">
        <v>2715</v>
      </c>
      <c r="M19" s="1496">
        <f>ROUND(SUMIF(地价!B2:F2,E2,地价!B36:F36),0)</f>
        <v>230</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f>ROUND(POWER(1+G20,J20-I20)*(POWER(1+G20,I20)-1)/(POWER(1+G20,J20)-1),4)</f>
        <v>0.79010000000000002</v>
      </c>
      <c r="D20" s="2258" t="s">
        <v>2718</v>
      </c>
      <c r="E20" s="1505">
        <f>存贷款利率!E18/100</f>
        <v>4.3499999999999997E-2</v>
      </c>
      <c r="F20" s="2258" t="s">
        <v>2710</v>
      </c>
      <c r="G20" s="873">
        <f>SUMIF(M26:P26,E2,M28:P28)</f>
        <v>4.8000000000000001E-2</v>
      </c>
      <c r="H20" s="2258" t="s">
        <v>2719</v>
      </c>
      <c r="I20" s="3076">
        <v>26.72</v>
      </c>
      <c r="J20" s="875">
        <f>IF(E2="住宅",70,IF(E2="商业",40,50))</f>
        <v>50</v>
      </c>
      <c r="K20" s="1287"/>
      <c r="L20" s="2259" t="s">
        <v>2720</v>
      </c>
      <c r="M20" s="1497">
        <f>ROUND(SUMPRODUCT((地价!A4:A36=YEAR(G19)&amp;"-"&amp;ROUNDUP(MONTH(G19)/3,0))*(地价!B2:F2=E2)*(地价!B4:F36)),0)</f>
        <v>334</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3116</v>
      </c>
      <c r="C21" s="3066">
        <f>IF(B21="容积率修正",IF(G3&lt;=10,D22,J22),C23)</f>
        <v>4.2618999999999998</v>
      </c>
      <c r="D21" s="2265"/>
      <c r="E21" s="2265"/>
      <c r="F21" s="2265"/>
      <c r="G21" s="2265"/>
      <c r="H21" s="2265"/>
      <c r="I21" s="2265"/>
      <c r="J21" s="2266"/>
      <c r="K21" s="1287"/>
      <c r="L21" s="3019"/>
      <c r="M21" s="3019"/>
      <c r="N21" s="2267"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3065" t="s">
        <v>2727</v>
      </c>
      <c r="D22" s="3065">
        <f>IF(E22=G22,F22,IF(G3&lt;=10,ROUND(F22+(H22-F22)*(G3-E22)/(G22-E22),4),"——"))</f>
        <v>4.2618999999999998</v>
      </c>
      <c r="E22" s="855">
        <f>ROUNDDOWN(G3,1)</f>
        <v>0.2</v>
      </c>
      <c r="F22" s="306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855">
        <f>ROUNDUP(G3,1)</f>
        <v>0.30000000000000004</v>
      </c>
      <c r="H22" s="30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3065" t="s">
        <v>155</v>
      </c>
      <c r="J22" s="877" t="str">
        <f>IF(G3&gt;10,D113,"——")</f>
        <v>——</v>
      </c>
      <c r="K22" s="1287"/>
      <c r="L22" s="3019"/>
      <c r="M22" s="3019"/>
      <c r="N22" s="2267"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1.042</v>
      </c>
      <c r="D24" s="2248"/>
      <c r="E24" s="2275"/>
      <c r="F24" s="2275"/>
      <c r="G24" s="2275"/>
      <c r="H24" s="2275"/>
      <c r="I24" s="2275"/>
      <c r="J24" s="2276"/>
      <c r="K24" s="1287"/>
      <c r="L24" s="3019"/>
      <c r="M24" s="3019"/>
      <c r="N24" s="2277"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1776</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8452</v>
      </c>
      <c r="D29" s="2296">
        <f>清单!F35-基准地价修正!D29</f>
        <v>2101.7799999999988</v>
      </c>
      <c r="E29" s="3069">
        <f>ROUND(C29*D29/10000,0)</f>
        <v>1776</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1268</v>
      </c>
      <c r="D30" s="2302"/>
      <c r="E30" s="3069">
        <f>ROUND(C30*D30/10000,0)</f>
        <v>0</v>
      </c>
      <c r="F30" s="2303" t="s">
        <v>2745</v>
      </c>
      <c r="G30" s="2304"/>
      <c r="H30" s="2304"/>
      <c r="I30" s="2304"/>
      <c r="J30" s="2305"/>
      <c r="K30" s="1280"/>
      <c r="L30" s="1280">
        <f>E29/('数据-汇总表'!D3/666.7)</f>
        <v>15.029801692697559</v>
      </c>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1"/>
      <c r="B33" s="2312" t="s">
        <v>2750</v>
      </c>
      <c r="C33" s="180">
        <f>ROUND(D5*C19*C20*C24*F33,0)</f>
        <v>1388</v>
      </c>
      <c r="D33" s="2296"/>
      <c r="E33" s="176">
        <f>ROUND(C33*D33/10000,0)</f>
        <v>0</v>
      </c>
      <c r="F33" s="176">
        <f>SUMIF(修正!A45:A56,G2,修正!B45:B56)</f>
        <v>0.7</v>
      </c>
      <c r="G33" s="176">
        <f t="shared" ref="G33" si="6">ROUND(IF(E2="工业",C33*$M$39,C33*$M$38),0)</f>
        <v>208</v>
      </c>
      <c r="H33" s="176">
        <f>D33</f>
        <v>0</v>
      </c>
      <c r="I33" s="176">
        <f>ROUND(G33*H33/10000,0)</f>
        <v>0</v>
      </c>
      <c r="J33" s="3386"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2"/>
      <c r="B34" s="2229" t="s">
        <v>2751</v>
      </c>
      <c r="C34" s="180">
        <f>ROUND(D5*C19*C20*C24*F34,0)</f>
        <v>793</v>
      </c>
      <c r="D34" s="2296"/>
      <c r="E34" s="176">
        <f t="shared" ref="E34:E39" si="7">ROUND(C34*D34/10000,0)</f>
        <v>0</v>
      </c>
      <c r="F34" s="176">
        <f>SUMIF(修正!A45:A56,G2,修正!C45:C56)</f>
        <v>0.4</v>
      </c>
      <c r="G34" s="176">
        <f>ROUND(IF(E2="工业",C34*$M$39,C34*$M$38),0)</f>
        <v>119</v>
      </c>
      <c r="H34" s="176">
        <f t="shared" ref="H34:H39" si="8">D34</f>
        <v>0</v>
      </c>
      <c r="I34" s="176">
        <f t="shared" ref="I34:I39" si="9">ROUND(G34*H34/10000,0)</f>
        <v>0</v>
      </c>
      <c r="J34" s="33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2"/>
      <c r="B35" s="2229" t="s">
        <v>2752</v>
      </c>
      <c r="C35" s="180">
        <f>ROUND(D5*C19*C20*C24*F35,0)</f>
        <v>555</v>
      </c>
      <c r="D35" s="2296"/>
      <c r="E35" s="176">
        <f t="shared" si="7"/>
        <v>0</v>
      </c>
      <c r="F35" s="176">
        <f>SUMIF(修正!A45:A56,G2,修正!D45:D56)</f>
        <v>0.28000000000000003</v>
      </c>
      <c r="G35" s="176">
        <f>ROUND(IF(E2="工业",C35*$M$39,C35*$M$38),0)</f>
        <v>83</v>
      </c>
      <c r="H35" s="176">
        <f t="shared" si="8"/>
        <v>0</v>
      </c>
      <c r="I35" s="176">
        <f t="shared" si="9"/>
        <v>0</v>
      </c>
      <c r="J35" s="33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3"/>
      <c r="B36" s="2229" t="s">
        <v>2753</v>
      </c>
      <c r="C36" s="180">
        <f>ROUND(D5*C19*C20*C24*F36,0)</f>
        <v>496</v>
      </c>
      <c r="D36" s="2296"/>
      <c r="E36" s="176">
        <f t="shared" si="7"/>
        <v>0</v>
      </c>
      <c r="F36" s="176">
        <f>SUMIF(修正!A45:A56,G2,修正!E45:E56)</f>
        <v>0.25</v>
      </c>
      <c r="G36" s="176">
        <f>ROUND(IF(E2="工业",C36*$M$39,C36*$M$38),0)</f>
        <v>74</v>
      </c>
      <c r="H36" s="176">
        <f t="shared" si="8"/>
        <v>0</v>
      </c>
      <c r="I36" s="176">
        <f t="shared" si="9"/>
        <v>0</v>
      </c>
      <c r="J36" s="338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496</v>
      </c>
      <c r="D37" s="2296"/>
      <c r="E37" s="176">
        <f t="shared" si="7"/>
        <v>0</v>
      </c>
      <c r="F37" s="180">
        <f>SUMIF(修正!A45:A56,G2,修正!F45:F56)</f>
        <v>0.25</v>
      </c>
      <c r="G37" s="176">
        <f>ROUND(IF(E2="工业",C37*$M$39,C37*$M$38),0)</f>
        <v>74</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4.8000000000000001E-2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1.042</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t="s">
        <v>3117</v>
      </c>
      <c r="D81" s="1196">
        <f t="shared" ref="D81:D88" si="25">SUMIF($J$80:$N$80,C81,J81:N81)</f>
        <v>0</v>
      </c>
      <c r="E81" s="760">
        <f>ROUND(SUM(D81:D88),4)</f>
        <v>4.2000000000000003E-2</v>
      </c>
      <c r="F81" s="2000">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t="s">
        <v>3118</v>
      </c>
      <c r="D82" s="1196">
        <f t="shared" si="25"/>
        <v>2.1399999999999999E-2</v>
      </c>
      <c r="E82" s="765"/>
      <c r="F82" s="2000"/>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4"/>
      <c r="AA82" s="2250"/>
      <c r="AG82" s="1282"/>
      <c r="AK82" s="2250"/>
    </row>
    <row r="83" spans="1:37" ht="24">
      <c r="A83" s="2329" t="s">
        <v>2771</v>
      </c>
      <c r="B83" s="2333">
        <f>估价对象房地状况!G17</f>
        <v>0</v>
      </c>
      <c r="C83" s="2234" t="s">
        <v>3118</v>
      </c>
      <c r="D83" s="1196">
        <f t="shared" si="25"/>
        <v>3.2000000000000002E-3</v>
      </c>
      <c r="E83" s="765"/>
      <c r="F83" s="2000"/>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4"/>
      <c r="AA83" s="2250"/>
      <c r="AG83" s="1282"/>
      <c r="AK83" s="2250"/>
    </row>
    <row r="84" spans="1:37" ht="14.25">
      <c r="A84" s="2329" t="s">
        <v>2785</v>
      </c>
      <c r="B84" s="2333">
        <f>估价对象房地状况!G22</f>
        <v>0</v>
      </c>
      <c r="C84" s="2234" t="s">
        <v>3119</v>
      </c>
      <c r="D84" s="1196">
        <f t="shared" si="25"/>
        <v>-5.1999999999999998E-3</v>
      </c>
      <c r="E84" s="765"/>
      <c r="F84" s="2000"/>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4"/>
      <c r="AA84" s="2250"/>
      <c r="AG84" s="1282"/>
      <c r="AK84" s="2250"/>
    </row>
    <row r="85" spans="1:37" ht="25.5">
      <c r="A85" s="2329" t="s">
        <v>2777</v>
      </c>
      <c r="B85" s="1494" t="str">
        <f>估价对象房地状况!G19</f>
        <v>估价对象所在区域公共配套设施齐备情况</v>
      </c>
      <c r="C85" s="2234" t="s">
        <v>3117</v>
      </c>
      <c r="D85" s="1196">
        <f t="shared" si="25"/>
        <v>0</v>
      </c>
      <c r="E85" s="765"/>
      <c r="F85" s="2000"/>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4"/>
      <c r="AA85" s="2250"/>
      <c r="AG85" s="1282"/>
      <c r="AK85" s="2250"/>
    </row>
    <row r="86" spans="1:37" ht="25.5">
      <c r="A86" s="2329" t="s">
        <v>2778</v>
      </c>
      <c r="B86" s="1494" t="str">
        <f>估价对象房地状况!G20</f>
        <v>估价对象所在区域基础设施水平</v>
      </c>
      <c r="C86" s="2234" t="s">
        <v>3120</v>
      </c>
      <c r="D86" s="1196">
        <f t="shared" si="25"/>
        <v>1.9400000000000001E-2</v>
      </c>
      <c r="E86" s="765"/>
      <c r="F86" s="2000"/>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4"/>
      <c r="AA86" s="2250"/>
      <c r="AG86" s="1282"/>
      <c r="AK86" s="2250"/>
    </row>
    <row r="87" spans="1:37" ht="24">
      <c r="A87" s="2329" t="s">
        <v>2775</v>
      </c>
      <c r="B87" s="2335" t="s">
        <v>2789</v>
      </c>
      <c r="C87" s="2234" t="s">
        <v>3118</v>
      </c>
      <c r="D87" s="1196">
        <f t="shared" si="25"/>
        <v>3.2000000000000002E-3</v>
      </c>
      <c r="E87" s="765"/>
      <c r="F87" s="2000"/>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4"/>
      <c r="AA87" s="2250"/>
      <c r="AG87" s="1282"/>
      <c r="AK87" s="2250"/>
    </row>
    <row r="88" spans="1:37" ht="39" thickBot="1">
      <c r="A88" s="2337" t="s">
        <v>2790</v>
      </c>
      <c r="B88" s="2342" t="str">
        <f>估价对象房地状况!G18</f>
        <v>该园区内是否有污染型企业，绿化情况，卫生条件，整体环境状况判断</v>
      </c>
      <c r="C88" s="2234" t="s">
        <v>3117</v>
      </c>
      <c r="D88" s="1196">
        <f t="shared" si="25"/>
        <v>0</v>
      </c>
      <c r="E88" s="766"/>
      <c r="F88" s="2000"/>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4"/>
      <c r="AA88" s="2250"/>
      <c r="AG88" s="1282"/>
      <c r="AK88" s="2250"/>
    </row>
    <row r="90" spans="1:37">
      <c r="A90" s="3373" t="s">
        <v>2791</v>
      </c>
      <c r="B90" s="3373"/>
      <c r="C90" s="3373"/>
      <c r="D90" s="3373"/>
      <c r="E90" s="3373"/>
      <c r="F90" s="3373"/>
      <c r="G90" s="3373"/>
      <c r="H90" s="3373"/>
      <c r="I90" s="3373"/>
      <c r="J90" s="3373"/>
      <c r="K90" s="3067"/>
      <c r="L90" s="3067"/>
      <c r="M90" s="3067"/>
      <c r="N90" s="3067"/>
    </row>
    <row r="91" spans="1:37">
      <c r="A91" s="3375" t="s">
        <v>2792</v>
      </c>
      <c r="B91" s="3375" t="s">
        <v>2793</v>
      </c>
      <c r="C91" s="2297" t="s">
        <v>2794</v>
      </c>
      <c r="D91" s="2298"/>
      <c r="E91" s="2298"/>
      <c r="F91" s="2298"/>
      <c r="G91" s="2298"/>
      <c r="H91" s="2298"/>
      <c r="I91" s="2298"/>
      <c r="J91" s="2344"/>
      <c r="K91" s="2345"/>
      <c r="L91" s="2345"/>
      <c r="M91" s="2345"/>
      <c r="N91" s="2345"/>
    </row>
    <row r="92" spans="1:37">
      <c r="A92" s="3375"/>
      <c r="B92" s="3375"/>
      <c r="C92" s="3069" t="s">
        <v>2662</v>
      </c>
      <c r="D92" s="3069" t="s">
        <v>2663</v>
      </c>
      <c r="E92" s="3069" t="s">
        <v>2664</v>
      </c>
      <c r="F92" s="3069" t="s">
        <v>2665</v>
      </c>
      <c r="G92" s="3069" t="s">
        <v>2666</v>
      </c>
      <c r="H92" s="3069" t="s">
        <v>2667</v>
      </c>
      <c r="I92" s="3069" t="s">
        <v>2668</v>
      </c>
      <c r="J92" s="3069" t="s">
        <v>2669</v>
      </c>
      <c r="K92" s="3069" t="s">
        <v>2670</v>
      </c>
      <c r="L92" s="3069" t="s">
        <v>2671</v>
      </c>
      <c r="M92" s="3069" t="s">
        <v>2672</v>
      </c>
      <c r="N92" s="3069" t="s">
        <v>2673</v>
      </c>
    </row>
    <row r="93" spans="1:37">
      <c r="A93" s="3376"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7"/>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7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6" t="s">
        <v>2796</v>
      </c>
      <c r="B101" s="2350" t="s">
        <v>2797</v>
      </c>
      <c r="C101" s="2351">
        <f>$G$3</f>
        <v>0.27</v>
      </c>
      <c r="D101" s="2351">
        <f t="shared" ref="D101:N101" si="32">$G$3</f>
        <v>0.27</v>
      </c>
      <c r="E101" s="2351">
        <f t="shared" si="32"/>
        <v>0.27</v>
      </c>
      <c r="F101" s="2351">
        <f t="shared" si="32"/>
        <v>0.27</v>
      </c>
      <c r="G101" s="2351">
        <f t="shared" si="32"/>
        <v>0.27</v>
      </c>
      <c r="H101" s="2351">
        <f t="shared" si="32"/>
        <v>0.27</v>
      </c>
      <c r="I101" s="2351">
        <f t="shared" si="32"/>
        <v>0.27</v>
      </c>
      <c r="J101" s="2351">
        <f t="shared" si="32"/>
        <v>0.27</v>
      </c>
      <c r="K101" s="2351">
        <f t="shared" si="32"/>
        <v>0.27</v>
      </c>
      <c r="L101" s="2351">
        <f t="shared" si="32"/>
        <v>0.27</v>
      </c>
      <c r="M101" s="2351">
        <f t="shared" si="32"/>
        <v>0.27</v>
      </c>
      <c r="N101" s="2351">
        <f t="shared" si="32"/>
        <v>0.27</v>
      </c>
    </row>
    <row r="102" spans="1:14">
      <c r="A102" s="3377"/>
      <c r="B102" s="2346">
        <v>1</v>
      </c>
      <c r="C102" s="2347">
        <f>1.9362/C101</f>
        <v>7.1711111111111103</v>
      </c>
      <c r="D102" s="2347">
        <f>1.9362/D101</f>
        <v>7.1711111111111103</v>
      </c>
      <c r="E102" s="2347">
        <f>1.8629/E101</f>
        <v>6.8996296296296293</v>
      </c>
      <c r="F102" s="2347">
        <f>1.8629/F101</f>
        <v>6.8996296296296293</v>
      </c>
      <c r="G102" s="2347">
        <f>1.8629/G101</f>
        <v>6.8996296296296293</v>
      </c>
      <c r="H102" s="2347">
        <f>1.8629/H101</f>
        <v>6.8996296296296293</v>
      </c>
      <c r="I102" s="2347">
        <f>1.8629/I101</f>
        <v>6.8996296296296293</v>
      </c>
      <c r="J102" s="2347">
        <f>1.942/J101</f>
        <v>7.1925925925925922</v>
      </c>
      <c r="K102" s="2347">
        <f>1.942/K101</f>
        <v>7.1925925925925922</v>
      </c>
      <c r="L102" s="2347">
        <f>1.942/L101</f>
        <v>7.1925925925925922</v>
      </c>
      <c r="M102" s="2347">
        <f>1.942/M101</f>
        <v>7.1925925925925922</v>
      </c>
      <c r="N102" s="2347">
        <f>1.942/N101</f>
        <v>7.1925925925925922</v>
      </c>
    </row>
    <row r="103" spans="1:14">
      <c r="A103" s="3377"/>
      <c r="B103" s="2346">
        <v>2</v>
      </c>
      <c r="C103" s="2347">
        <f>1.4198/C101</f>
        <v>5.2585185185185184</v>
      </c>
      <c r="D103" s="2347">
        <f>1.4198/D101</f>
        <v>5.2585185185185184</v>
      </c>
      <c r="E103" s="2347">
        <f>1.3372/E101</f>
        <v>4.952592592592592</v>
      </c>
      <c r="F103" s="2347">
        <f>1.3372/F101</f>
        <v>4.952592592592592</v>
      </c>
      <c r="G103" s="2347">
        <f>1.3372/G101</f>
        <v>4.952592592592592</v>
      </c>
      <c r="H103" s="2347">
        <f>1.3372/H101</f>
        <v>4.952592592592592</v>
      </c>
      <c r="I103" s="2347">
        <f>1.3372/I101</f>
        <v>4.952592592592592</v>
      </c>
      <c r="J103" s="2347">
        <f>1.2799/J101</f>
        <v>4.7403703703703703</v>
      </c>
      <c r="K103" s="2347">
        <f>1.2799/K101</f>
        <v>4.7403703703703703</v>
      </c>
      <c r="L103" s="2347">
        <f>1.2799/L101</f>
        <v>4.7403703703703703</v>
      </c>
      <c r="M103" s="2347">
        <f>1.2799/M101</f>
        <v>4.7403703703703703</v>
      </c>
      <c r="N103" s="2347">
        <f>1.2799/N101</f>
        <v>4.7403703703703703</v>
      </c>
    </row>
    <row r="104" spans="1:14">
      <c r="A104" s="3377"/>
      <c r="B104" s="2346">
        <v>3</v>
      </c>
      <c r="C104" s="2347">
        <f>1.1594/C101</f>
        <v>4.2940740740740742</v>
      </c>
      <c r="D104" s="2347">
        <f>1.1594/D101</f>
        <v>4.2940740740740742</v>
      </c>
      <c r="E104" s="2347">
        <f>1.0788/E101</f>
        <v>3.9955555555555553</v>
      </c>
      <c r="F104" s="2347">
        <f>1.0788/F101</f>
        <v>3.9955555555555553</v>
      </c>
      <c r="G104" s="2347">
        <f>1.0788/G101</f>
        <v>3.9955555555555553</v>
      </c>
      <c r="H104" s="2347">
        <f>1.0788/H101</f>
        <v>3.9955555555555553</v>
      </c>
      <c r="I104" s="2347">
        <f>1.0788/I101</f>
        <v>3.9955555555555553</v>
      </c>
      <c r="J104" s="2347">
        <f>1.0072/J101</f>
        <v>3.7303703703703706</v>
      </c>
      <c r="K104" s="2347">
        <f>1.0072/K101</f>
        <v>3.7303703703703706</v>
      </c>
      <c r="L104" s="2347">
        <f>1.0072/L101</f>
        <v>3.7303703703703706</v>
      </c>
      <c r="M104" s="2347">
        <f>1.0072/M101</f>
        <v>3.7303703703703706</v>
      </c>
      <c r="N104" s="2347">
        <f>1.0072/N101</f>
        <v>3.7303703703703706</v>
      </c>
    </row>
    <row r="105" spans="1:14">
      <c r="A105" s="3377"/>
      <c r="B105" s="2346">
        <v>4</v>
      </c>
      <c r="C105" s="2347">
        <f>0.9622/C101</f>
        <v>3.5637037037037036</v>
      </c>
      <c r="D105" s="2347">
        <f>0.9622/D101</f>
        <v>3.5637037037037036</v>
      </c>
      <c r="E105" s="2347">
        <f>0.8656/E101</f>
        <v>3.2059259259259258</v>
      </c>
      <c r="F105" s="2347">
        <f>0.8656/F101</f>
        <v>3.2059259259259258</v>
      </c>
      <c r="G105" s="2347">
        <f>0.8656/G101</f>
        <v>3.2059259259259258</v>
      </c>
      <c r="H105" s="2347">
        <f>0.8656/H101</f>
        <v>3.2059259259259258</v>
      </c>
      <c r="I105" s="2347">
        <f>0.8656/I101</f>
        <v>3.2059259259259258</v>
      </c>
      <c r="J105" s="2347">
        <f>0.7525/J101</f>
        <v>2.7870370370370368</v>
      </c>
      <c r="K105" s="2347">
        <f>0.7525/K101</f>
        <v>2.7870370370370368</v>
      </c>
      <c r="L105" s="2347">
        <f>0.7525/L101</f>
        <v>2.7870370370370368</v>
      </c>
      <c r="M105" s="2347">
        <f>0.7525/M101</f>
        <v>2.7870370370370368</v>
      </c>
      <c r="N105" s="2347">
        <f>0.7525/N101</f>
        <v>2.7870370370370368</v>
      </c>
    </row>
    <row r="106" spans="1:14">
      <c r="A106" s="3377"/>
      <c r="B106" s="2346">
        <v>5</v>
      </c>
      <c r="C106" s="2347">
        <f>0.8417/C101</f>
        <v>3.1174074074074074</v>
      </c>
      <c r="D106" s="2347">
        <f>0.8417/D101</f>
        <v>3.1174074074074074</v>
      </c>
      <c r="E106" s="2347">
        <f>0.7371/E101</f>
        <v>2.7299999999999995</v>
      </c>
      <c r="F106" s="2347">
        <f>0.7371/F101</f>
        <v>2.7299999999999995</v>
      </c>
      <c r="G106" s="2347">
        <f>0.7371/G101</f>
        <v>2.7299999999999995</v>
      </c>
      <c r="H106" s="2347">
        <f>0.7371/H101</f>
        <v>2.7299999999999995</v>
      </c>
      <c r="I106" s="2347">
        <f>0.7371/I101</f>
        <v>2.7299999999999995</v>
      </c>
      <c r="J106" s="2347">
        <f>0.5659/J101</f>
        <v>2.0959259259259255</v>
      </c>
      <c r="K106" s="2347">
        <f>0.5659/K101</f>
        <v>2.0959259259259255</v>
      </c>
      <c r="L106" s="2347">
        <f>0.5659/L101</f>
        <v>2.0959259259259255</v>
      </c>
      <c r="M106" s="2347">
        <f>0.5659/M101</f>
        <v>2.0959259259259255</v>
      </c>
      <c r="N106" s="2347">
        <f>0.5659/N101</f>
        <v>2.0959259259259255</v>
      </c>
    </row>
    <row r="107" spans="1:14">
      <c r="A107" s="3377"/>
      <c r="B107" s="2346">
        <v>6</v>
      </c>
      <c r="C107" s="2347">
        <f>0.7608/C101</f>
        <v>2.8177777777777777</v>
      </c>
      <c r="D107" s="2347">
        <f>0.7608/D101</f>
        <v>2.8177777777777777</v>
      </c>
      <c r="E107" s="2347">
        <f>0.6482/E101</f>
        <v>2.4007407407407406</v>
      </c>
      <c r="F107" s="2347">
        <f>0.6482/F101</f>
        <v>2.4007407407407406</v>
      </c>
      <c r="G107" s="2347">
        <f>0.6482/G101</f>
        <v>2.4007407407407406</v>
      </c>
      <c r="H107" s="2347">
        <f>0.6482/H101</f>
        <v>2.4007407407407406</v>
      </c>
      <c r="I107" s="2347">
        <f>0.6482/I101</f>
        <v>2.4007407407407406</v>
      </c>
      <c r="J107" s="2347">
        <f>0.4525/J101</f>
        <v>1.6759259259259258</v>
      </c>
      <c r="K107" s="2347">
        <f>0.4525/K101</f>
        <v>1.6759259259259258</v>
      </c>
      <c r="L107" s="2347">
        <f>0.4525/L101</f>
        <v>1.6759259259259258</v>
      </c>
      <c r="M107" s="2347">
        <f>0.4525/M101</f>
        <v>1.6759259259259258</v>
      </c>
      <c r="N107" s="2347">
        <f>0.4525/N101</f>
        <v>1.6759259259259258</v>
      </c>
    </row>
    <row r="108" spans="1:14">
      <c r="A108" s="3377"/>
      <c r="B108" s="3379" t="s">
        <v>2691</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78"/>
      <c r="B109" s="3380"/>
      <c r="C109" s="2349">
        <f>(-0.163*(C108^2)-0.59*C108+7617)*(10^(-4))/C101</f>
        <v>2.8211111111111111</v>
      </c>
      <c r="D109" s="2349">
        <f>(-0.163*(D108^2)-0.59*D108+7617)*(10^(-4))/D101</f>
        <v>2.8211111111111111</v>
      </c>
      <c r="E109" s="2349">
        <f>(-0.161*(E108^2)-7.509*E108+6533)*(10^(-4))/E101</f>
        <v>2.4196296296296294</v>
      </c>
      <c r="F109" s="2349">
        <f>(-0.161*(F108^2)-7.509*F108+6533)*(10^(-4))/F101</f>
        <v>2.4196296296296294</v>
      </c>
      <c r="G109" s="2349">
        <f>(-0.161*(G108^2)-7.509*G108+6533)*(10^(-4))/G101</f>
        <v>2.4196296296296294</v>
      </c>
      <c r="H109" s="2349">
        <f>(-0.161*(H108^2)-7.509*H108+6533)*(10^(-4))/H101</f>
        <v>2.4196296296296294</v>
      </c>
      <c r="I109" s="2349">
        <f>(-0.161*(I108^2)-7.509*I108+6533)*(10^(-4))/I101</f>
        <v>2.4196296296296294</v>
      </c>
      <c r="J109" s="2349">
        <f>(-0.214*(J108^2)-21.991*J108+4665)*(10^(-4))/J101</f>
        <v>1.7277777777777779</v>
      </c>
      <c r="K109" s="2349">
        <f>(-0.214*(K108^2)-21.991*K108+4665)*(10^(-4))/K101</f>
        <v>1.7277777777777779</v>
      </c>
      <c r="L109" s="2349">
        <f>(-0.214*(L108^2)-21.991*L108+4665)*(10^(-4))/L101</f>
        <v>1.7277777777777779</v>
      </c>
      <c r="M109" s="2349">
        <f>(-0.214*(M108^2)-21.991*M108+4665)*(10^(-4))/M101</f>
        <v>1.7277777777777779</v>
      </c>
      <c r="N109" s="2349">
        <f>(-0.214*(N108^2)-21.991*N108+4665)*(10^(-4))/N101</f>
        <v>1.7277777777777779</v>
      </c>
    </row>
    <row r="110" spans="1:14">
      <c r="A110" s="3374" t="s">
        <v>2799</v>
      </c>
      <c r="B110" s="3374"/>
      <c r="C110" s="3374"/>
      <c r="D110" s="3374"/>
      <c r="E110" s="3374"/>
      <c r="F110" s="3374"/>
      <c r="G110" s="3374"/>
      <c r="H110" s="3374"/>
      <c r="I110" s="3374"/>
      <c r="J110" s="3374"/>
      <c r="K110" s="3068"/>
      <c r="L110" s="3068"/>
      <c r="M110" s="3068"/>
      <c r="N110" s="3068"/>
    </row>
    <row r="112" spans="1:14" ht="13.5" thickBot="1"/>
    <row r="113" spans="1:13" ht="25.5" thickBot="1">
      <c r="A113" s="842" t="s">
        <v>2800</v>
      </c>
      <c r="B113" s="1197">
        <f>G3</f>
        <v>0.27</v>
      </c>
      <c r="C113" s="843" t="s">
        <v>2801</v>
      </c>
      <c r="D113" s="844">
        <f>SUMPRODUCT((A115:A118=F113)*(B114:M114=H113)*B115:M118)</f>
        <v>0.62660000000000005</v>
      </c>
      <c r="E113" s="2188" t="s">
        <v>2635</v>
      </c>
      <c r="F113" s="2354" t="str">
        <f>E2</f>
        <v>工业</v>
      </c>
      <c r="G113" s="2188" t="s">
        <v>2636</v>
      </c>
      <c r="H113" s="2354" t="str">
        <f>G2</f>
        <v>六级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0.93100000000000005</v>
      </c>
      <c r="C115" s="849">
        <f>B115</f>
        <v>0.93100000000000005</v>
      </c>
      <c r="D115" s="849">
        <f>ROUND(0.8331-0.0109*B113,4)</f>
        <v>0.83020000000000005</v>
      </c>
      <c r="E115" s="849">
        <f>D115</f>
        <v>0.83020000000000005</v>
      </c>
      <c r="F115" s="849">
        <f>E115</f>
        <v>0.83020000000000005</v>
      </c>
      <c r="G115" s="849">
        <f>F115</f>
        <v>0.83020000000000005</v>
      </c>
      <c r="H115" s="849">
        <f>G115</f>
        <v>0.83020000000000005</v>
      </c>
      <c r="I115" s="849">
        <f>ROUND(0.689-0.0155*B113,4)</f>
        <v>0.68479999999999996</v>
      </c>
      <c r="J115" s="849">
        <f t="shared" ref="J115:M118" si="34">I115</f>
        <v>0.68479999999999996</v>
      </c>
      <c r="K115" s="849">
        <f t="shared" si="34"/>
        <v>0.68479999999999996</v>
      </c>
      <c r="L115" s="849">
        <f t="shared" si="34"/>
        <v>0.68479999999999996</v>
      </c>
      <c r="M115" s="850">
        <f t="shared" si="34"/>
        <v>0.68479999999999996</v>
      </c>
    </row>
    <row r="116" spans="1:13">
      <c r="A116" s="848" t="s">
        <v>2701</v>
      </c>
      <c r="B116" s="849">
        <f>ROUND(0.949-0.012*B113,4)</f>
        <v>0.94579999999999997</v>
      </c>
      <c r="C116" s="849">
        <f>B116</f>
        <v>0.94579999999999997</v>
      </c>
      <c r="D116" s="849">
        <f>ROUND(0.8567-0.013*B113,4)</f>
        <v>0.85319999999999996</v>
      </c>
      <c r="E116" s="849">
        <f t="shared" ref="E116:H117" si="35">D116</f>
        <v>0.85319999999999996</v>
      </c>
      <c r="F116" s="849">
        <f t="shared" si="35"/>
        <v>0.85319999999999996</v>
      </c>
      <c r="G116" s="849">
        <f t="shared" si="35"/>
        <v>0.85319999999999996</v>
      </c>
      <c r="H116" s="849">
        <f t="shared" si="35"/>
        <v>0.85319999999999996</v>
      </c>
      <c r="I116" s="849">
        <f>ROUND(0.7694-0.014*B113,4)</f>
        <v>0.76559999999999995</v>
      </c>
      <c r="J116" s="849">
        <f t="shared" si="34"/>
        <v>0.76559999999999995</v>
      </c>
      <c r="K116" s="849">
        <f t="shared" si="34"/>
        <v>0.76559999999999995</v>
      </c>
      <c r="L116" s="849">
        <f t="shared" si="34"/>
        <v>0.76559999999999995</v>
      </c>
      <c r="M116" s="850">
        <f t="shared" si="34"/>
        <v>0.76559999999999995</v>
      </c>
    </row>
    <row r="117" spans="1:13">
      <c r="A117" s="848" t="s">
        <v>2702</v>
      </c>
      <c r="B117" s="849">
        <f>ROUND(0.8808-0.006*B113,4)</f>
        <v>0.87919999999999998</v>
      </c>
      <c r="C117" s="849">
        <f>B117</f>
        <v>0.87919999999999998</v>
      </c>
      <c r="D117" s="849">
        <f>ROUND(0.8748-0.008*B113,4)</f>
        <v>0.87260000000000004</v>
      </c>
      <c r="E117" s="849">
        <f t="shared" si="35"/>
        <v>0.87260000000000004</v>
      </c>
      <c r="F117" s="849">
        <f t="shared" si="35"/>
        <v>0.87260000000000004</v>
      </c>
      <c r="G117" s="849">
        <f t="shared" si="35"/>
        <v>0.87260000000000004</v>
      </c>
      <c r="H117" s="849">
        <f t="shared" si="35"/>
        <v>0.87260000000000004</v>
      </c>
      <c r="I117" s="849">
        <f>ROUND(0.7412-0.0095*B113,4)</f>
        <v>0.73860000000000003</v>
      </c>
      <c r="J117" s="849">
        <f t="shared" si="34"/>
        <v>0.73860000000000003</v>
      </c>
      <c r="K117" s="849">
        <f t="shared" si="34"/>
        <v>0.73860000000000003</v>
      </c>
      <c r="L117" s="849">
        <f t="shared" si="34"/>
        <v>0.73860000000000003</v>
      </c>
      <c r="M117" s="850">
        <f t="shared" si="34"/>
        <v>0.73860000000000003</v>
      </c>
    </row>
    <row r="118" spans="1:13" ht="13.5" thickBot="1">
      <c r="A118" s="670" t="s">
        <v>2703</v>
      </c>
      <c r="B118" s="851">
        <f>ROUND(0.7275-0.01*B113,4)</f>
        <v>0.7248</v>
      </c>
      <c r="C118" s="851">
        <f>B118</f>
        <v>0.7248</v>
      </c>
      <c r="D118" s="851">
        <f>ROUND(0.7043-0.012*B113,4)</f>
        <v>0.70109999999999995</v>
      </c>
      <c r="E118" s="851">
        <f>D118</f>
        <v>0.70109999999999995</v>
      </c>
      <c r="F118" s="851">
        <f>E118</f>
        <v>0.70109999999999995</v>
      </c>
      <c r="G118" s="851">
        <f>ROUND(0.6299-0.0122*B113,4)</f>
        <v>0.62660000000000005</v>
      </c>
      <c r="H118" s="851">
        <f>G118</f>
        <v>0.62660000000000005</v>
      </c>
      <c r="I118" s="851">
        <f>ROUND(0.5667-0.0136*B113,4)</f>
        <v>0.56299999999999994</v>
      </c>
      <c r="J118" s="851">
        <f t="shared" si="34"/>
        <v>0.56299999999999994</v>
      </c>
      <c r="K118" s="851">
        <f t="shared" si="34"/>
        <v>0.56299999999999994</v>
      </c>
      <c r="L118" s="851">
        <f t="shared" si="34"/>
        <v>0.56299999999999994</v>
      </c>
      <c r="M118" s="852">
        <f t="shared" si="34"/>
        <v>0.56299999999999994</v>
      </c>
    </row>
  </sheetData>
  <sheetProtection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0" sqref="H3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20329</v>
      </c>
      <c r="C2" s="2361" t="s">
        <v>2815</v>
      </c>
      <c r="D2" s="2361" t="s">
        <v>2816</v>
      </c>
      <c r="E2" s="2838">
        <f ca="1">SUMIF(E6:E13,"&lt;&gt;#ref!",E6:E13)</f>
        <v>21395.8</v>
      </c>
      <c r="F2" s="3024"/>
      <c r="G2" s="3024"/>
      <c r="H2" s="3024"/>
      <c r="I2" s="3024"/>
      <c r="J2" s="3024"/>
      <c r="K2" s="3024"/>
      <c r="L2" s="3024"/>
      <c r="M2" s="3024"/>
      <c r="N2" s="3024"/>
      <c r="O2" s="3024"/>
      <c r="P2" s="3024"/>
    </row>
    <row r="3" spans="1:16" ht="15.75">
      <c r="A3" s="2361" t="s">
        <v>2817</v>
      </c>
      <c r="B3" s="2828">
        <f ca="1">ROUND(B2*10000/E2,0)</f>
        <v>9501</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18553</v>
      </c>
      <c r="C6" s="2361" t="s">
        <v>2815</v>
      </c>
      <c r="D6" s="3024"/>
      <c r="E6" s="2838">
        <f ca="1">SUMIF(INDIRECT("'"&amp;A6&amp;"'"&amp;"!C:C"),"建筑面积",INDIRECT("'"&amp;A6&amp;"'"&amp;"!D:D"))</f>
        <v>19294.02</v>
      </c>
      <c r="F6" s="3024"/>
      <c r="G6" s="3024"/>
      <c r="H6" s="3024"/>
      <c r="I6" s="3024"/>
      <c r="J6" s="3024"/>
      <c r="K6" s="3024"/>
      <c r="L6" s="3024"/>
      <c r="M6" s="3024"/>
      <c r="N6" s="3024"/>
      <c r="O6" s="3024"/>
      <c r="P6" s="3024"/>
    </row>
    <row r="7" spans="1:16" ht="15.75">
      <c r="A7" s="2835" t="s">
        <v>3136</v>
      </c>
      <c r="B7" s="2828">
        <f ca="1">SUMIF(INDIRECT("'"&amp;A7&amp;"'"&amp;"!A:A"),"总价",INDIRECT("'"&amp;A7&amp;"'"&amp;"!B:B"))</f>
        <v>1776</v>
      </c>
      <c r="C7" s="2361" t="s">
        <v>2815</v>
      </c>
      <c r="D7" s="3024"/>
      <c r="E7" s="2838">
        <f t="shared" ref="E7:E13" ca="1" si="0">SUMIF(INDIRECT("'"&amp;A7&amp;"'"&amp;"!C:C"),"建筑面积",INDIRECT("'"&amp;A7&amp;"'"&amp;"!D:D"))</f>
        <v>2101.7799999999988</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9.5" thickBot="1">
      <c r="A4" s="1678"/>
      <c r="B4" s="3081" t="s">
        <v>1595</v>
      </c>
      <c r="C4" s="3081"/>
      <c r="D4" s="3081"/>
      <c r="E4" s="1678"/>
    </row>
    <row r="5" spans="1:5" ht="16.5" thickTop="1">
      <c r="A5" s="1676"/>
      <c r="B5" s="3079" t="s">
        <v>1587</v>
      </c>
      <c r="C5" s="1679" t="s">
        <v>1588</v>
      </c>
      <c r="D5" s="959">
        <f ca="1">结果表!H101</f>
        <v>27538</v>
      </c>
      <c r="E5" s="1676"/>
    </row>
    <row r="6" spans="1:5" ht="15.75">
      <c r="A6" s="1676"/>
      <c r="B6" s="3079"/>
      <c r="C6" s="1679" t="s">
        <v>1589</v>
      </c>
      <c r="D6" s="959" t="str">
        <f ca="1">NUMBERSTRING(INT(D5*10000),2)&amp;"元整"</f>
        <v>贰亿柒仟伍佰叁拾捌万元整</v>
      </c>
      <c r="E6" s="1676"/>
    </row>
    <row r="7" spans="1:5" ht="15.75">
      <c r="A7" s="1676"/>
      <c r="B7" s="3084"/>
      <c r="C7" s="1680" t="s">
        <v>1590</v>
      </c>
      <c r="D7" s="960">
        <f ca="1">结果表!H102</f>
        <v>12871</v>
      </c>
      <c r="E7" s="1676"/>
    </row>
    <row r="8" spans="1:5" ht="15.75">
      <c r="A8" s="1676"/>
      <c r="B8" s="3085" t="str">
        <f>结果表!E103</f>
        <v>2.估价师知悉的法定优先受偿款</v>
      </c>
      <c r="C8" s="1681" t="s">
        <v>1591</v>
      </c>
      <c r="D8" s="960">
        <f>结果表!H103</f>
        <v>0</v>
      </c>
      <c r="E8" s="1676"/>
    </row>
    <row r="9" spans="1:5" ht="15.75">
      <c r="A9" s="1676"/>
      <c r="B9" s="3087"/>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8" t="str">
        <f>结果表!E107</f>
        <v>3.房地产抵押价值</v>
      </c>
      <c r="C13" s="1684" t="s">
        <v>1588</v>
      </c>
      <c r="D13" s="962">
        <f ca="1">结果表!H107</f>
        <v>27538</v>
      </c>
      <c r="E13" s="1676"/>
    </row>
    <row r="14" spans="1:5" ht="15.75">
      <c r="A14" s="1676"/>
      <c r="B14" s="3079"/>
      <c r="C14" s="1679" t="s">
        <v>1589</v>
      </c>
      <c r="D14" s="959" t="str">
        <f ca="1">NUMBERSTRING(INT(D13*10000),2)&amp;"元整"</f>
        <v>贰亿柒仟伍佰叁拾捌万元整</v>
      </c>
      <c r="E14" s="1676"/>
    </row>
    <row r="15" spans="1:5" ht="15">
      <c r="A15" s="1676"/>
      <c r="B15" s="3084"/>
      <c r="C15" s="1680" t="s">
        <v>1599</v>
      </c>
      <c r="D15" s="968">
        <f ca="1">结果表!H108</f>
        <v>12871</v>
      </c>
      <c r="E15" s="1676"/>
    </row>
    <row r="16" spans="1:5" ht="15">
      <c r="A16" s="1676"/>
      <c r="B16" s="3085" t="str">
        <f>结果表!E109</f>
        <v>——</v>
      </c>
      <c r="C16" s="1684" t="s">
        <v>1600</v>
      </c>
      <c r="D16" s="1685" t="str">
        <f>结果表!H109</f>
        <v>——</v>
      </c>
      <c r="E16" s="1676"/>
    </row>
    <row r="17" spans="1:5" ht="15.75">
      <c r="A17" s="1676"/>
      <c r="B17" s="3086"/>
      <c r="C17" s="1679" t="s">
        <v>1601</v>
      </c>
      <c r="D17" s="959" t="e">
        <f>NUMBERSTRING(INT(D16*10000),2)&amp;"元整"</f>
        <v>#VALUE!</v>
      </c>
      <c r="E17" s="1676"/>
    </row>
    <row r="18" spans="1:5" ht="15">
      <c r="A18" s="1676"/>
      <c r="B18" s="3087"/>
      <c r="C18" s="1680" t="s">
        <v>1590</v>
      </c>
      <c r="D18" s="968" t="str">
        <f>结果表!H110</f>
        <v>——</v>
      </c>
      <c r="E18" s="1676"/>
    </row>
    <row r="19" spans="1:5" ht="15.75">
      <c r="A19" s="1676"/>
      <c r="B19" s="3078" t="str">
        <f>结果表!E111</f>
        <v>——</v>
      </c>
      <c r="C19" s="1684" t="s">
        <v>1588</v>
      </c>
      <c r="D19" s="960" t="str">
        <f>结果表!H111</f>
        <v>——</v>
      </c>
      <c r="E19" s="1676"/>
    </row>
    <row r="20" spans="1:5" ht="15.75">
      <c r="A20" s="1676"/>
      <c r="B20" s="3079"/>
      <c r="C20" s="1679" t="s">
        <v>1601</v>
      </c>
      <c r="D20" s="959" t="e">
        <f>NUMBERSTRING(INT(D19*10000),2)&amp;"元整"</f>
        <v>#VALUE!</v>
      </c>
      <c r="E20" s="1676"/>
    </row>
    <row r="21" spans="1:5" ht="15.75" thickBot="1">
      <c r="A21" s="1676"/>
      <c r="B21" s="3080"/>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7" t="s">
        <v>1117</v>
      </c>
      <c r="C1" s="3407"/>
      <c r="D1" s="3407"/>
      <c r="E1" s="3407"/>
      <c r="F1" s="3407"/>
      <c r="G1" s="3403" t="s">
        <v>1118</v>
      </c>
      <c r="H1" s="3403"/>
      <c r="I1" s="3403"/>
      <c r="J1" s="3403"/>
      <c r="K1" s="3403"/>
      <c r="L1" s="3403"/>
      <c r="N1" s="3403" t="s">
        <v>1119</v>
      </c>
      <c r="O1" s="3403"/>
      <c r="P1" s="3403"/>
      <c r="Q1" s="3403"/>
      <c r="S1" s="3403" t="s">
        <v>1120</v>
      </c>
      <c r="T1" s="3403"/>
      <c r="U1" s="3403"/>
      <c r="V1" s="3403"/>
      <c r="X1" s="3402" t="s">
        <v>1121</v>
      </c>
      <c r="Y1" s="3403"/>
      <c r="Z1" s="3403"/>
      <c r="AA1" s="3403"/>
      <c r="AB1" s="3403"/>
      <c r="AD1" s="3402" t="s">
        <v>1122</v>
      </c>
      <c r="AE1" s="3403"/>
      <c r="AF1" s="3403"/>
      <c r="AG1" s="3403"/>
      <c r="AH1" s="340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3063</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3062</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3061</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3059</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3058</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2872</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2870</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2869</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2868</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2866</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2864</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2867</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05">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2862</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05"/>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2861</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05"/>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2854</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12"/>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408">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2853</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05"/>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05"/>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12"/>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08">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05"/>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05"/>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06"/>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04">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05"/>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05"/>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06"/>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04">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05"/>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05"/>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06"/>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09">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10"/>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10"/>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11"/>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04">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05"/>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05"/>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06"/>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04">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05">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05">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06">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04">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05">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05">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06">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04">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05">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05">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06">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04">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05">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05">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06">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04">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05">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05">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06">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04">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05">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05">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06">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04">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05">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05">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06">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04">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05">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05">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06">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04">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05">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05">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06">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04">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05">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05">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06">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6" t="s">
        <v>2825</v>
      </c>
      <c r="D1" s="3417"/>
      <c r="E1" s="3417"/>
      <c r="F1" s="3417"/>
      <c r="G1" s="3417"/>
      <c r="H1" s="3417"/>
      <c r="I1" s="3417"/>
      <c r="J1" s="3417"/>
      <c r="K1" s="3417"/>
      <c r="L1" s="3417"/>
      <c r="M1" s="3417"/>
      <c r="N1" s="3417"/>
      <c r="O1" s="3417"/>
      <c r="P1" s="3417"/>
      <c r="Q1" s="3417"/>
      <c r="R1" s="3417"/>
      <c r="S1" s="3418"/>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3" t="s">
        <v>33</v>
      </c>
      <c r="D22" s="3414"/>
      <c r="E22" s="3414"/>
      <c r="F22" s="3414"/>
      <c r="G22" s="3414"/>
      <c r="H22" s="3414"/>
      <c r="I22" s="3414"/>
      <c r="J22" s="3414"/>
      <c r="K22" s="3414"/>
      <c r="L22" s="3414"/>
      <c r="M22" s="3414"/>
      <c r="N22" s="3414"/>
      <c r="O22" s="3414"/>
      <c r="P22" s="3414"/>
      <c r="Q22" s="341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28854</v>
      </c>
      <c r="C2" s="2" t="s">
        <v>133</v>
      </c>
      <c r="D2" s="205"/>
      <c r="E2" s="205"/>
      <c r="F2" s="205"/>
      <c r="G2" s="205"/>
    </row>
    <row r="3" spans="1:7" s="206" customFormat="1" ht="18" customHeight="1" thickBot="1">
      <c r="A3" s="209" t="s">
        <v>85</v>
      </c>
      <c r="B3" s="210">
        <f ca="1">ROUND(B2*10000/'数据-汇总表'!E3,0)</f>
        <v>13486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407</v>
      </c>
      <c r="D10" s="954">
        <f>'数据-汇总表'!E6</f>
        <v>21395.8</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428</v>
      </c>
      <c r="D19" s="958">
        <f>'数据-汇总表'!E3</f>
        <v>21395.8</v>
      </c>
      <c r="E19" s="217">
        <f>'数据-取费表'!B31</f>
        <v>200</v>
      </c>
      <c r="F19" s="237"/>
      <c r="G19" s="1" t="s">
        <v>1042</v>
      </c>
    </row>
    <row r="20" spans="1:7" s="220" customFormat="1" ht="13.5" customHeight="1">
      <c r="A20" s="885" t="s">
        <v>1025</v>
      </c>
      <c r="B20" s="216" t="s">
        <v>104</v>
      </c>
      <c r="C20" s="238">
        <f>ROUND((C5+C19)*F20,0)</f>
        <v>421</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925</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19</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1073</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1073</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25326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4899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4279</v>
      </c>
      <c r="D34" s="223"/>
      <c r="E34" s="226"/>
      <c r="F34" s="263">
        <f>IF('数据-取费表'!B24=0,1,'数据-取费表'!N16)</f>
        <v>1</v>
      </c>
      <c r="G34" s="225" t="s">
        <v>116</v>
      </c>
    </row>
    <row r="35" spans="1:7" ht="13.5" customHeight="1">
      <c r="A35" s="888" t="s">
        <v>796</v>
      </c>
      <c r="B35" s="221" t="s">
        <v>60</v>
      </c>
      <c r="C35" s="226">
        <f>ROUND(C34*F35,0)</f>
        <v>128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428</v>
      </c>
      <c r="D37" s="223">
        <f>'数据-汇总表'!E3</f>
        <v>21395.8</v>
      </c>
      <c r="E37" s="255">
        <f>'数据-取费表'!B35</f>
        <v>200</v>
      </c>
      <c r="F37" s="265"/>
      <c r="G37" s="267" t="s">
        <v>119</v>
      </c>
    </row>
    <row r="38" spans="1:7" ht="13.5" customHeight="1">
      <c r="A38" s="888" t="s">
        <v>799</v>
      </c>
      <c r="B38" s="221" t="s">
        <v>63</v>
      </c>
      <c r="C38" s="226">
        <f>ROUND(C34*F38,0)</f>
        <v>64</v>
      </c>
      <c r="D38" s="226"/>
      <c r="E38" s="226"/>
      <c r="F38" s="265">
        <f>'数据-取费表'!B36</f>
        <v>1.4999999999999999E-2</v>
      </c>
      <c r="G38" s="225" t="s">
        <v>117</v>
      </c>
    </row>
    <row r="39" spans="1:7" s="220" customFormat="1" ht="13.5" customHeight="1">
      <c r="A39" s="885" t="s">
        <v>783</v>
      </c>
      <c r="B39" s="216" t="s">
        <v>104</v>
      </c>
      <c r="C39" s="238">
        <f>ROUND(C33*F20,0)</f>
        <v>98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109</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107</v>
      </c>
      <c r="D42" s="244"/>
      <c r="E42" s="244"/>
      <c r="F42" s="245"/>
      <c r="G42" s="3320" t="s">
        <v>121</v>
      </c>
    </row>
    <row r="43" spans="1:7" ht="13.5" customHeight="1">
      <c r="A43" s="888" t="s">
        <v>792</v>
      </c>
      <c r="B43" s="221" t="s">
        <v>1032</v>
      </c>
      <c r="C43" s="244">
        <f ca="1">ROUND(IF('数据-取费表'!B22&lt;=1,C39*F22*'数据-取费表'!B21/2,C39*(POWER((1+F22),'数据-取费表'!B21/2)-1)),0)</f>
        <v>2</v>
      </c>
      <c r="D43" s="244"/>
      <c r="E43" s="244"/>
      <c r="F43" s="245"/>
      <c r="G43" s="3321"/>
    </row>
    <row r="44" spans="1:7" ht="13.5" customHeight="1">
      <c r="A44" s="888" t="s">
        <v>793</v>
      </c>
      <c r="B44" s="221" t="s">
        <v>1034</v>
      </c>
      <c r="C44" s="244">
        <f ca="1">ROUND(IF('数据-取费表'!B22&lt;=1,C40*F22*'数据-取费表'!B21/2,C40*(POWER((1+F22),'数据-取费表'!B21/2)-1)),4)</f>
        <v>4.0000000000000002E-4</v>
      </c>
      <c r="D44" s="244"/>
      <c r="E44" s="244"/>
      <c r="F44" s="245"/>
      <c r="G44" s="3322"/>
    </row>
    <row r="45" spans="1:7" s="220" customFormat="1" ht="13.5" customHeight="1">
      <c r="A45" s="885" t="s">
        <v>786</v>
      </c>
      <c r="B45" s="250" t="s">
        <v>112</v>
      </c>
      <c r="C45" s="251">
        <f>C46</f>
        <v>250</v>
      </c>
      <c r="D45" s="241">
        <f>C47</f>
        <v>1E-3</v>
      </c>
      <c r="E45" s="242" t="s">
        <v>129</v>
      </c>
      <c r="F45" s="252"/>
      <c r="G45" s="253" t="s">
        <v>1040</v>
      </c>
    </row>
    <row r="46" spans="1:7" s="220" customFormat="1" ht="13.5" customHeight="1">
      <c r="A46" s="888" t="s">
        <v>794</v>
      </c>
      <c r="B46" s="254" t="s">
        <v>1033</v>
      </c>
      <c r="C46" s="255">
        <f>ROUND((C33+C39)*F27,0)</f>
        <v>250</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5783</v>
      </c>
      <c r="D49" s="238"/>
      <c r="E49" s="238"/>
      <c r="F49" s="270"/>
      <c r="G49" s="240" t="s">
        <v>1041</v>
      </c>
    </row>
    <row r="50" spans="1:7" s="264" customFormat="1" ht="24">
      <c r="A50" s="885" t="s">
        <v>789</v>
      </c>
      <c r="B50" s="216" t="s">
        <v>124</v>
      </c>
      <c r="C50" s="238"/>
      <c r="D50" s="238"/>
      <c r="E50" s="238"/>
      <c r="F50" s="270">
        <f>IF('数据-取费表'!B24=0,'数据-取费表'!N16,1)</f>
        <v>0.61</v>
      </c>
      <c r="G50" s="253" t="s">
        <v>125</v>
      </c>
    </row>
    <row r="51" spans="1:7" ht="16.5" customHeight="1">
      <c r="A51" s="885" t="s">
        <v>790</v>
      </c>
      <c r="B51" s="216" t="s">
        <v>132</v>
      </c>
      <c r="C51" s="238">
        <f ca="1">ROUND(C49*F50,0)</f>
        <v>3528</v>
      </c>
      <c r="D51" s="238"/>
      <c r="E51" s="238"/>
      <c r="F51" s="270"/>
      <c r="G51" s="240" t="s">
        <v>64</v>
      </c>
    </row>
    <row r="52" spans="1:7" s="214" customFormat="1" ht="16.5" thickBot="1">
      <c r="A52" s="271" t="s">
        <v>65</v>
      </c>
      <c r="B52" s="272"/>
      <c r="C52" s="273">
        <f ca="1">C31+C51</f>
        <v>28854</v>
      </c>
      <c r="D52" s="272"/>
      <c r="E52" s="272"/>
      <c r="F52" s="272"/>
      <c r="G52" s="274"/>
    </row>
    <row r="55" spans="1:7" ht="15">
      <c r="B55" s="276" t="s">
        <v>66</v>
      </c>
      <c r="C55" s="277"/>
    </row>
    <row r="56" spans="1:7">
      <c r="B56" s="279" t="s">
        <v>67</v>
      </c>
      <c r="C56" s="280">
        <f ca="1">ROUND(C51/C52,3)</f>
        <v>0.122</v>
      </c>
    </row>
    <row r="57" spans="1:7">
      <c r="B57" s="279" t="s">
        <v>68</v>
      </c>
      <c r="C57" s="281">
        <f ca="1">1-C56</f>
        <v>0.878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9" t="s">
        <v>156</v>
      </c>
      <c r="B1" s="3419"/>
      <c r="C1" s="3419"/>
      <c r="D1" s="3419"/>
      <c r="E1" s="3419"/>
      <c r="F1" s="34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0" t="s">
        <v>169</v>
      </c>
      <c r="B2" s="3420"/>
      <c r="C2" s="3420"/>
      <c r="D2" s="3420"/>
      <c r="E2" s="3420"/>
      <c r="F2" s="34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9" t="s">
        <v>839</v>
      </c>
      <c r="B1" s="341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44512</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518" t="s">
        <v>1338</v>
      </c>
      <c r="E1" s="1512" t="s">
        <v>1342</v>
      </c>
      <c r="F1" s="1513" t="s">
        <v>1346</v>
      </c>
    </row>
    <row r="2" spans="1:13" ht="18.75">
      <c r="A2" s="1519" t="s">
        <v>1339</v>
      </c>
    </row>
    <row r="3" spans="1:13">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4" sqref="M4"/>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1606</v>
      </c>
      <c r="B2" s="3089" t="s">
        <v>1607</v>
      </c>
      <c r="C2" s="3089" t="s">
        <v>1608</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90"/>
      <c r="B3" s="3090"/>
      <c r="C3" s="3090"/>
      <c r="D3" s="963" t="s">
        <v>1603</v>
      </c>
      <c r="E3" s="963" t="s">
        <v>1609</v>
      </c>
      <c r="F3" s="963" t="s">
        <v>1603</v>
      </c>
      <c r="G3" s="963" t="s">
        <v>1604</v>
      </c>
      <c r="H3" s="963" t="s">
        <v>1603</v>
      </c>
      <c r="I3" s="963" t="s">
        <v>1604</v>
      </c>
    </row>
    <row r="4" spans="1:9" ht="15">
      <c r="A4" s="1690" t="str">
        <f>项目基本情况!S2</f>
        <v>北京市房地产</v>
      </c>
      <c r="B4" s="963">
        <f>项目基本情况!C17</f>
        <v>21395.8</v>
      </c>
      <c r="C4" s="963">
        <f>项目基本情况!C18</f>
        <v>78780.759999999995</v>
      </c>
      <c r="D4" s="963">
        <f ca="1">结果表!D118</f>
        <v>21893</v>
      </c>
      <c r="E4" s="963">
        <f ca="1">结果表!E118</f>
        <v>10233</v>
      </c>
      <c r="F4" s="963">
        <f ca="1">结果表!F118</f>
        <v>5645</v>
      </c>
      <c r="G4" s="963">
        <f ca="1">结果表!G118</f>
        <v>2638</v>
      </c>
      <c r="H4" s="963">
        <f ca="1">结果表!H118</f>
        <v>27538</v>
      </c>
      <c r="I4" s="963">
        <f ca="1">结果表!I118</f>
        <v>12871</v>
      </c>
    </row>
    <row r="5" spans="1:9" ht="30" customHeight="1">
      <c r="A5" s="3090" t="s">
        <v>1605</v>
      </c>
      <c r="B5" s="3090"/>
      <c r="C5" s="3090"/>
      <c r="D5" s="3091" t="str">
        <f ca="1">结果表!D119</f>
        <v>贰亿壹仟捌佰玖拾叁万元整</v>
      </c>
      <c r="E5" s="3091"/>
      <c r="F5" s="3091" t="str">
        <f ca="1">结果表!F119</f>
        <v>伍仟陆佰肆拾伍万元整</v>
      </c>
      <c r="G5" s="3091"/>
      <c r="H5" s="3091" t="str">
        <f ca="1">结果表!H119</f>
        <v>贰亿柒仟伍佰叁拾捌万元整</v>
      </c>
      <c r="I5" s="3091"/>
    </row>
    <row r="6" spans="1:9" ht="15.75">
      <c r="A6" s="3092" t="str">
        <f>结果表!A120</f>
        <v>估价师知悉的法定优先受偿款</v>
      </c>
      <c r="B6" s="3092"/>
      <c r="C6" s="3092"/>
      <c r="D6" s="3092">
        <f>结果表!D120</f>
        <v>0</v>
      </c>
      <c r="E6" s="3092"/>
      <c r="F6" s="3092"/>
      <c r="G6" s="3092"/>
      <c r="H6" s="3092"/>
      <c r="I6" s="3092"/>
    </row>
    <row r="7" spans="1:9" ht="15">
      <c r="A7" s="3090" t="s">
        <v>1605</v>
      </c>
      <c r="B7" s="3090"/>
      <c r="C7" s="3090"/>
      <c r="D7" s="3093" t="str">
        <f>结果表!D121</f>
        <v>零元整</v>
      </c>
      <c r="E7" s="3094"/>
      <c r="F7" s="3094"/>
      <c r="G7" s="3094"/>
      <c r="H7" s="3094"/>
      <c r="I7" s="3095"/>
    </row>
    <row r="8" spans="1:9" ht="15.75">
      <c r="A8" s="3092" t="str">
        <f>结果表!A122</f>
        <v>房地产抵押价值</v>
      </c>
      <c r="B8" s="3092"/>
      <c r="C8" s="3092"/>
      <c r="D8" s="3092">
        <f ca="1">结果表!D122</f>
        <v>27538</v>
      </c>
      <c r="E8" s="3092"/>
      <c r="F8" s="3092"/>
      <c r="G8" s="3092"/>
      <c r="H8" s="3092"/>
      <c r="I8" s="3092"/>
    </row>
    <row r="9" spans="1:9" ht="15">
      <c r="A9" s="3090" t="s">
        <v>1605</v>
      </c>
      <c r="B9" s="3090"/>
      <c r="C9" s="3090"/>
      <c r="D9" s="3091" t="str">
        <f ca="1">结果表!D123</f>
        <v>贰亿柒仟伍佰叁拾捌万元整</v>
      </c>
      <c r="E9" s="3091"/>
      <c r="F9" s="3091"/>
      <c r="G9" s="3091"/>
      <c r="H9" s="3091"/>
      <c r="I9" s="3091"/>
    </row>
    <row r="10" spans="1:9" ht="15.75">
      <c r="A10" s="3092" t="str">
        <f>结果表!A124</f>
        <v/>
      </c>
      <c r="B10" s="3092"/>
      <c r="C10" s="3092"/>
      <c r="D10" s="3092" t="str">
        <f>结果表!D124</f>
        <v>——</v>
      </c>
      <c r="E10" s="3092"/>
      <c r="F10" s="3092"/>
      <c r="G10" s="3092"/>
      <c r="H10" s="3092"/>
      <c r="I10" s="3092"/>
    </row>
    <row r="11" spans="1:9" ht="15">
      <c r="A11" s="3090" t="s">
        <v>1605</v>
      </c>
      <c r="B11" s="3090"/>
      <c r="C11" s="3090"/>
      <c r="D11" s="3091" t="e">
        <f>结果表!D125</f>
        <v>#VALUE!</v>
      </c>
      <c r="E11" s="3091"/>
      <c r="F11" s="3091"/>
      <c r="G11" s="3091"/>
      <c r="H11" s="3091"/>
      <c r="I11" s="3091"/>
    </row>
    <row r="12" spans="1:9" ht="15.75">
      <c r="A12" s="3092" t="str">
        <f>结果表!A126</f>
        <v/>
      </c>
      <c r="B12" s="3092"/>
      <c r="C12" s="3092"/>
      <c r="D12" s="3092" t="str">
        <f>结果表!D126</f>
        <v>——</v>
      </c>
      <c r="E12" s="3092"/>
      <c r="F12" s="3092"/>
      <c r="G12" s="3092"/>
      <c r="H12" s="3092"/>
      <c r="I12" s="3092"/>
    </row>
    <row r="13" spans="1:9" ht="15.75" thickBot="1">
      <c r="A13" s="3096" t="s">
        <v>1605</v>
      </c>
      <c r="B13" s="3096"/>
      <c r="C13" s="3096"/>
      <c r="D13" s="3097" t="e">
        <f>结果表!D127</f>
        <v>#VALUE!</v>
      </c>
      <c r="E13" s="3097"/>
      <c r="F13" s="3097"/>
      <c r="G13" s="3097"/>
      <c r="H13" s="3097"/>
      <c r="I13" s="3097"/>
    </row>
    <row r="14" spans="1:9" ht="15" thickTop="1">
      <c r="A14" s="3098" t="s">
        <v>1610</v>
      </c>
      <c r="B14" s="3098"/>
      <c r="C14" s="3098"/>
      <c r="D14" s="3098"/>
      <c r="E14" s="3098"/>
      <c r="F14" s="3098"/>
      <c r="G14" s="3098"/>
      <c r="H14" s="3098"/>
      <c r="I14" s="309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9" t="s">
        <v>1627</v>
      </c>
      <c r="B1" s="3099"/>
      <c r="C1" s="3099"/>
      <c r="D1" s="3099"/>
    </row>
    <row r="2" spans="1:4" ht="18">
      <c r="A2" s="3100" t="s">
        <v>1611</v>
      </c>
      <c r="B2" s="3100"/>
      <c r="C2" s="3100"/>
      <c r="D2" s="3100"/>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00" t="s">
        <v>1617</v>
      </c>
      <c r="B6" s="3100"/>
      <c r="C6" s="3100"/>
      <c r="D6" s="3100"/>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1" t="s">
        <v>1620</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3"/>
      <c r="C12" s="3103"/>
      <c r="D12" s="3103"/>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3"/>
      <c r="C13" s="3103"/>
      <c r="D13" s="3103"/>
    </row>
    <row r="14" spans="1:4" ht="15.75" customHeight="1">
      <c r="A14" s="3102" t="str">
        <f>IF(项目基本情况!B8="抵押","4.本次评估估价师所知悉的法定优先受偿款情况说明如下：","——")</f>
        <v>4.本次评估估价师所知悉的法定优先受偿款情况说明如下：</v>
      </c>
      <c r="B14" s="3103"/>
      <c r="C14" s="3103"/>
      <c r="D14" s="3103"/>
    </row>
    <row r="15" spans="1:4" ht="42" customHeight="1">
      <c r="A15" s="31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2"/>
      <c r="C15" s="3102"/>
      <c r="D15" s="3102"/>
    </row>
    <row r="16" spans="1:4" ht="30" customHeight="1">
      <c r="A16" s="3105" t="s">
        <v>1621</v>
      </c>
      <c r="B16" s="3105"/>
      <c r="C16" s="3105"/>
      <c r="D16" s="3105"/>
    </row>
    <row r="17" spans="1:4" ht="144" customHeight="1">
      <c r="A17" s="3105" t="s">
        <v>1622</v>
      </c>
      <c r="B17" s="3105"/>
      <c r="C17" s="3105"/>
      <c r="D17" s="3105"/>
    </row>
    <row r="18" spans="1:4" ht="15.75" customHeight="1">
      <c r="A18" s="3102" t="str">
        <f>IF(项目基本情况!B8="抵押",结果表!K120,"——")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2"/>
      <c r="C20" s="3102"/>
      <c r="D20" s="3102"/>
    </row>
    <row r="21" spans="1:4" ht="57.75" customHeight="1">
      <c r="A21" s="31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6"/>
      <c r="C21" s="3106"/>
      <c r="D21" s="3106"/>
    </row>
    <row r="22" spans="1:4" ht="18.75" customHeight="1">
      <c r="A22" s="3107" t="s">
        <v>1623</v>
      </c>
      <c r="B22" s="3107"/>
      <c r="C22" s="3107"/>
      <c r="D22" s="310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4">
        <v>42551</v>
      </c>
      <c r="D31" s="31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3" t="s">
        <v>1634</v>
      </c>
      <c r="B15" s="3108" t="s">
        <v>136</v>
      </c>
      <c r="C15" s="3109"/>
    </row>
    <row r="16" spans="1:7" ht="13.5">
      <c r="A16" s="3114"/>
      <c r="B16" s="3108" t="s">
        <v>69</v>
      </c>
      <c r="C16" s="3109"/>
    </row>
    <row r="17" spans="1:3" ht="13.5">
      <c r="A17" s="3114"/>
      <c r="B17" s="3111" t="s">
        <v>1635</v>
      </c>
      <c r="C17" s="1717" t="s">
        <v>1634</v>
      </c>
    </row>
    <row r="18" spans="1:3" ht="13.5">
      <c r="A18" s="3114"/>
      <c r="B18" s="3111"/>
      <c r="C18" s="1717" t="s">
        <v>1636</v>
      </c>
    </row>
    <row r="19" spans="1:3" ht="13.5">
      <c r="A19" s="3114"/>
      <c r="B19" s="3111"/>
      <c r="C19" s="1717" t="s">
        <v>1637</v>
      </c>
    </row>
    <row r="20" spans="1:3" ht="13.5">
      <c r="A20" s="3115"/>
      <c r="B20" s="3110" t="s">
        <v>1638</v>
      </c>
      <c r="C20" s="3109"/>
    </row>
    <row r="21" spans="1:3" ht="13.5">
      <c r="A21" s="1718" t="s">
        <v>1639</v>
      </c>
      <c r="B21" s="1719"/>
      <c r="C21" s="1720"/>
    </row>
    <row r="22" spans="1:3" ht="13.5">
      <c r="A22" s="3112" t="s">
        <v>1640</v>
      </c>
      <c r="B22" s="3110" t="s">
        <v>1641</v>
      </c>
      <c r="C22" s="3109"/>
    </row>
    <row r="23" spans="1:3" ht="13.5">
      <c r="A23" s="3112"/>
      <c r="B23" s="3110" t="s">
        <v>1642</v>
      </c>
      <c r="C23" s="3109"/>
    </row>
    <row r="24" spans="1:3" ht="13.5">
      <c r="A24" s="3112"/>
      <c r="B24" s="3110" t="s">
        <v>1643</v>
      </c>
      <c r="C24" s="3109"/>
    </row>
    <row r="25" spans="1:3" ht="13.5">
      <c r="A25" s="3112"/>
      <c r="B25" s="3111" t="s">
        <v>1644</v>
      </c>
      <c r="C25" s="1717" t="s">
        <v>1645</v>
      </c>
    </row>
    <row r="26" spans="1:3" ht="13.5">
      <c r="A26" s="3112"/>
      <c r="B26" s="3111"/>
      <c r="C26" s="1717" t="s">
        <v>1646</v>
      </c>
    </row>
    <row r="27" spans="1:3" ht="13.5">
      <c r="A27" s="3112"/>
      <c r="B27" s="3111"/>
      <c r="C27" s="1717" t="s">
        <v>1647</v>
      </c>
    </row>
    <row r="28" spans="1:3" ht="13.5">
      <c r="A28" s="3112"/>
      <c r="B28" s="3111"/>
      <c r="C28" s="1717" t="s">
        <v>1648</v>
      </c>
    </row>
    <row r="29" spans="1:3" ht="13.5">
      <c r="A29" s="3112"/>
      <c r="B29" s="3111"/>
      <c r="C29" s="1717" t="s">
        <v>1649</v>
      </c>
    </row>
    <row r="30" spans="1:3" ht="13.5">
      <c r="A30" s="3112"/>
      <c r="B30" s="3111"/>
      <c r="C30" s="1717" t="s">
        <v>1650</v>
      </c>
    </row>
    <row r="31" spans="1:3" ht="13.5">
      <c r="A31" s="3112"/>
      <c r="B31" s="3111"/>
      <c r="C31" s="1717" t="s">
        <v>1651</v>
      </c>
    </row>
    <row r="32" spans="1:3" ht="13.5">
      <c r="A32" s="3112"/>
      <c r="B32" s="3111"/>
      <c r="C32" s="1717" t="s">
        <v>1652</v>
      </c>
    </row>
    <row r="33" spans="1:3" ht="13.5">
      <c r="A33" s="3112"/>
      <c r="B33" s="311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44512</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6" t="s">
        <v>2902</v>
      </c>
      <c r="B17" s="3116"/>
      <c r="C17" s="3116"/>
      <c r="D17" s="3116"/>
      <c r="E17" s="3116"/>
      <c r="F17" s="3116"/>
      <c r="G17" s="3116"/>
      <c r="H17" s="3116"/>
    </row>
    <row r="18" spans="1:8" ht="24" customHeight="1">
      <c r="A18" s="3117" t="s">
        <v>2903</v>
      </c>
      <c r="B18" s="3117"/>
      <c r="C18" s="3117"/>
      <c r="D18" s="2566"/>
      <c r="E18" s="3118" t="s">
        <v>2904</v>
      </c>
      <c r="F18" s="3117"/>
      <c r="G18" s="3117"/>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比较法-工业</vt:lpstr>
      <vt:lpstr>比较法-仓储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比较法-车位</vt:lpstr>
      <vt:lpstr>土地比较法-住宅、综合</vt:lpstr>
      <vt:lpstr>基准地价修正</vt:lpstr>
      <vt:lpstr>土地比较法-工业</vt:lpstr>
      <vt:lpstr>修正</vt:lpstr>
      <vt:lpstr>容积率修正</vt:lpstr>
      <vt:lpstr>基准地价修正 (2)</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2021-11-12T07:01:54Z</dcterms:modified>
</cp:coreProperties>
</file>