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12" windowWidth="14400" windowHeight="11436"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(元)'!$A$1:$M$43,'收益法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1">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区片价!$M$1:$M$35</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U20" i="1" l="1"/>
  <c r="M11" i="67"/>
  <c r="J11" i="67"/>
  <c r="C6" i="69"/>
  <c r="M11" i="15"/>
  <c r="V23" i="1"/>
  <c r="AF6" i="1" s="1"/>
  <c r="U2" i="43" l="1"/>
  <c r="Y6" i="1"/>
  <c r="G51" i="43"/>
  <c r="G52" i="43"/>
  <c r="G53" i="43"/>
  <c r="G54" i="43"/>
  <c r="G55" i="43"/>
  <c r="G56" i="43"/>
  <c r="G57" i="43"/>
  <c r="G58" i="43"/>
  <c r="G50" i="43"/>
  <c r="D33" i="43"/>
  <c r="N6" i="1"/>
  <c r="N22" i="1"/>
  <c r="N20" i="1"/>
  <c r="F19" i="6"/>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B28" i="79"/>
  <c r="AA28" i="79"/>
  <c r="Z28" i="79"/>
  <c r="N28" i="79"/>
  <c r="M28" i="79"/>
  <c r="T28" i="79" s="1"/>
  <c r="W28" i="79" s="1"/>
  <c r="L28" i="79"/>
  <c r="I28" i="79"/>
  <c r="AB27" i="79"/>
  <c r="AA27" i="79"/>
  <c r="Z27" i="79"/>
  <c r="N27" i="79"/>
  <c r="M27" i="79"/>
  <c r="L27" i="79"/>
  <c r="S27" i="79" s="1"/>
  <c r="I27" i="79"/>
  <c r="AB26" i="79"/>
  <c r="AA26" i="79"/>
  <c r="Z26" i="79"/>
  <c r="N26" i="79"/>
  <c r="M26" i="79"/>
  <c r="L26" i="79"/>
  <c r="I26" i="79"/>
  <c r="AD26" i="79" s="1"/>
  <c r="AB25" i="79"/>
  <c r="AA25" i="79"/>
  <c r="Z25" i="79"/>
  <c r="N25" i="79"/>
  <c r="U25" i="79" s="1"/>
  <c r="M25" i="79"/>
  <c r="L25" i="79"/>
  <c r="I25" i="79"/>
  <c r="AB24" i="79"/>
  <c r="AA24" i="79"/>
  <c r="Z24" i="79"/>
  <c r="N24" i="79"/>
  <c r="M24" i="79"/>
  <c r="L24" i="79"/>
  <c r="I24" i="79"/>
  <c r="AB23" i="79"/>
  <c r="AA23" i="79"/>
  <c r="AA20" i="79" s="1"/>
  <c r="AD20" i="79" s="1"/>
  <c r="Z23" i="79"/>
  <c r="N23" i="79"/>
  <c r="U20" i="79" s="1"/>
  <c r="M23" i="79"/>
  <c r="L23" i="79"/>
  <c r="I23" i="79"/>
  <c r="AD23" i="79" s="1"/>
  <c r="AB22" i="79"/>
  <c r="AB20" i="79" s="1"/>
  <c r="AA22" i="79"/>
  <c r="Z22" i="79"/>
  <c r="N22" i="79"/>
  <c r="M22" i="79"/>
  <c r="M20" i="79" s="1"/>
  <c r="P20" i="79" s="1"/>
  <c r="L22" i="79"/>
  <c r="S20" i="79" s="1"/>
  <c r="I22" i="79"/>
  <c r="AD22" i="79" s="1"/>
  <c r="T20" i="79"/>
  <c r="W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N11" i="79"/>
  <c r="U11" i="79" s="1"/>
  <c r="M11" i="79"/>
  <c r="L11" i="79"/>
  <c r="S11" i="79" s="1"/>
  <c r="K11" i="79"/>
  <c r="I11" i="79"/>
  <c r="AC10" i="79"/>
  <c r="AB10" i="79"/>
  <c r="AA10" i="79"/>
  <c r="AD10" i="79" s="1"/>
  <c r="Z10" i="79"/>
  <c r="Y10" i="79"/>
  <c r="O10" i="79"/>
  <c r="V10" i="79" s="1"/>
  <c r="N10" i="79"/>
  <c r="M10" i="79"/>
  <c r="P10" i="79" s="1"/>
  <c r="L10" i="79"/>
  <c r="K10" i="79"/>
  <c r="R10" i="79" s="1"/>
  <c r="I10" i="79"/>
  <c r="AD9" i="79"/>
  <c r="AC9" i="79"/>
  <c r="AB9" i="79"/>
  <c r="AA9" i="79"/>
  <c r="Z9" i="79"/>
  <c r="Y9" i="79"/>
  <c r="P9" i="79"/>
  <c r="O9" i="79"/>
  <c r="N9" i="79"/>
  <c r="U9" i="79" s="1"/>
  <c r="M9" i="79"/>
  <c r="L9" i="79"/>
  <c r="S9" i="79" s="1"/>
  <c r="K9" i="79"/>
  <c r="I9" i="79"/>
  <c r="AC8" i="79"/>
  <c r="AB8" i="79"/>
  <c r="AA8" i="79"/>
  <c r="AD8" i="79" s="1"/>
  <c r="Z8" i="79"/>
  <c r="Y8" i="79"/>
  <c r="O8" i="79"/>
  <c r="V8" i="79" s="1"/>
  <c r="N8" i="79"/>
  <c r="M8" i="79"/>
  <c r="P8" i="79" s="1"/>
  <c r="L8" i="79"/>
  <c r="K8" i="79"/>
  <c r="R8" i="79" s="1"/>
  <c r="I8" i="79"/>
  <c r="AC7" i="79"/>
  <c r="AC3" i="79" s="1"/>
  <c r="AB7" i="79"/>
  <c r="AA7" i="79"/>
  <c r="AD7" i="79" s="1"/>
  <c r="Z7" i="79"/>
  <c r="Y7" i="79"/>
  <c r="Y3" i="79" s="1"/>
  <c r="O7" i="79"/>
  <c r="N7" i="79"/>
  <c r="M7" i="79"/>
  <c r="L7" i="79"/>
  <c r="S7" i="79" s="1"/>
  <c r="K7" i="79"/>
  <c r="I7" i="79"/>
  <c r="AC6" i="79"/>
  <c r="AB6" i="79"/>
  <c r="AB3" i="79" s="1"/>
  <c r="AA6" i="79"/>
  <c r="AD6" i="79" s="1"/>
  <c r="Z6" i="79"/>
  <c r="Z3" i="79" s="1"/>
  <c r="Y6" i="79"/>
  <c r="O6" i="79"/>
  <c r="V6" i="79" s="1"/>
  <c r="N6" i="79"/>
  <c r="M6" i="79"/>
  <c r="P6" i="79" s="1"/>
  <c r="L6" i="79"/>
  <c r="K6" i="79"/>
  <c r="R6" i="79" s="1"/>
  <c r="I6" i="79"/>
  <c r="AC5" i="79"/>
  <c r="AB5" i="79"/>
  <c r="AA5" i="79"/>
  <c r="AD5" i="79" s="1"/>
  <c r="Z5" i="79"/>
  <c r="Y5" i="79"/>
  <c r="O5" i="79"/>
  <c r="V5" i="79" s="1"/>
  <c r="N5" i="79"/>
  <c r="M5" i="79"/>
  <c r="P5" i="79" s="1"/>
  <c r="L5" i="79"/>
  <c r="K5" i="79"/>
  <c r="R5" i="79" s="1"/>
  <c r="I5" i="79"/>
  <c r="AA3" i="79"/>
  <c r="AD3" i="79" s="1"/>
  <c r="U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R3" i="79"/>
  <c r="V3" i="79"/>
  <c r="S5" i="79"/>
  <c r="S6" i="79"/>
  <c r="T7" i="79"/>
  <c r="W7" i="79" s="1"/>
  <c r="U8" i="79"/>
  <c r="R9" i="79"/>
  <c r="V9" i="79"/>
  <c r="U10" i="79"/>
  <c r="R11" i="79"/>
  <c r="V11" i="79"/>
  <c r="U24" i="79"/>
  <c r="AD25" i="79"/>
  <c r="S26" i="79"/>
  <c r="T27" i="79"/>
  <c r="W27" i="79" s="1"/>
  <c r="U28" i="79"/>
  <c r="AD29" i="79"/>
  <c r="M37" i="43"/>
  <c r="S3" i="79"/>
  <c r="N20" i="79"/>
  <c r="T22" i="79"/>
  <c r="W22" i="79" s="1"/>
  <c r="U23" i="79"/>
  <c r="AD24" i="79"/>
  <c r="S25" i="79"/>
  <c r="T26" i="79"/>
  <c r="W26" i="79" s="1"/>
  <c r="U27" i="79"/>
  <c r="AD28" i="79"/>
  <c r="M3" i="79"/>
  <c r="P3" i="79" s="1"/>
  <c r="T5" i="79"/>
  <c r="W5" i="79" s="1"/>
  <c r="U7" i="79"/>
  <c r="N3" i="79"/>
  <c r="T3" i="79"/>
  <c r="W3" i="79" s="1"/>
  <c r="U5" i="79"/>
  <c r="U6" i="79"/>
  <c r="R7" i="79"/>
  <c r="V7" i="79"/>
  <c r="S8" i="79"/>
  <c r="T9" i="79"/>
  <c r="W9" i="79" s="1"/>
  <c r="S10" i="79"/>
  <c r="T11" i="79"/>
  <c r="W11" i="79" s="1"/>
  <c r="U22" i="79"/>
  <c r="Z20" i="79"/>
  <c r="S24" i="79"/>
  <c r="T25" i="79"/>
  <c r="W25" i="79" s="1"/>
  <c r="U26" i="79"/>
  <c r="AD27" i="79"/>
  <c r="S28" i="79"/>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R25" i="77"/>
  <c r="D29" i="77"/>
  <c r="D32" i="77"/>
  <c r="E23" i="77"/>
  <c r="D26" i="77"/>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O24" i="71"/>
  <c r="C24" i="71"/>
  <c r="C23" i="71" s="1"/>
  <c r="Q25" i="71"/>
  <c r="F24" i="71"/>
  <c r="F23" i="71"/>
  <c r="F22" i="71" s="1"/>
  <c r="P25" i="71"/>
  <c r="E24" i="71"/>
  <c r="V24" i="71" s="1"/>
  <c r="E23" i="7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A15" i="62"/>
  <c r="B61" i="72" s="1"/>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C63" i="71" s="1"/>
  <c r="N62" i="71"/>
  <c r="Q61" i="71"/>
  <c r="F62" i="7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c r="F55" i="71" s="1"/>
  <c r="F56" i="71" s="1"/>
  <c r="V56" i="71" s="1"/>
  <c r="P53" i="71"/>
  <c r="E54" i="71" s="1"/>
  <c r="E55" i="71" s="1"/>
  <c r="E56" i="71" s="1"/>
  <c r="O53" i="7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E51" i="7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c r="V48" i="71" s="1"/>
  <c r="Q45" i="71"/>
  <c r="P45" i="71"/>
  <c r="E46" i="71"/>
  <c r="E47" i="71" s="1"/>
  <c r="E48" i="71" s="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N41" i="71"/>
  <c r="B42" i="71"/>
  <c r="B43" i="71" s="1"/>
  <c r="B44" i="71" s="1"/>
  <c r="S44" i="71" s="1"/>
  <c r="D41" i="71"/>
  <c r="Q40" i="71"/>
  <c r="P40" i="71"/>
  <c r="O40" i="71"/>
  <c r="N40" i="71"/>
  <c r="AB39" i="71"/>
  <c r="Q39" i="71"/>
  <c r="P39" i="71"/>
  <c r="AA39" i="71"/>
  <c r="O39" i="71"/>
  <c r="N39" i="71"/>
  <c r="X39" i="71"/>
  <c r="Q38" i="71"/>
  <c r="AB38" i="71"/>
  <c r="P38" i="71"/>
  <c r="O38" i="71"/>
  <c r="N38" i="71"/>
  <c r="F38" i="71"/>
  <c r="F39" i="71" s="1"/>
  <c r="F40" i="71"/>
  <c r="V40" i="71"/>
  <c r="Q37" i="71"/>
  <c r="P37" i="71"/>
  <c r="O37" i="71"/>
  <c r="C38" i="71" s="1"/>
  <c r="C39" i="71" s="1"/>
  <c r="N37" i="71"/>
  <c r="D37" i="71"/>
  <c r="Q36" i="71"/>
  <c r="AB36" i="71"/>
  <c r="P36" i="71"/>
  <c r="O36" i="71"/>
  <c r="N36" i="71"/>
  <c r="Q35" i="71"/>
  <c r="P35" i="71"/>
  <c r="O35" i="71"/>
  <c r="N35" i="71"/>
  <c r="Q34" i="71"/>
  <c r="P34" i="71"/>
  <c r="O34" i="71"/>
  <c r="N34" i="71"/>
  <c r="F34" i="71"/>
  <c r="F35" i="71" s="1"/>
  <c r="F36" i="71" s="1"/>
  <c r="V36" i="71" s="1"/>
  <c r="Q33" i="71"/>
  <c r="AB33" i="71" s="1"/>
  <c r="P33" i="71"/>
  <c r="O33" i="71"/>
  <c r="N33" i="71"/>
  <c r="D33" i="71"/>
  <c r="Q32" i="71"/>
  <c r="P32" i="71"/>
  <c r="O32" i="71"/>
  <c r="N32" i="71"/>
  <c r="Q31" i="71"/>
  <c r="P31" i="71"/>
  <c r="O31" i="71"/>
  <c r="N31" i="71"/>
  <c r="Q30" i="71"/>
  <c r="P30" i="71"/>
  <c r="O30" i="71"/>
  <c r="N30" i="71"/>
  <c r="F30" i="71"/>
  <c r="F31" i="71" s="1"/>
  <c r="F32" i="71" s="1"/>
  <c r="V32" i="71" s="1"/>
  <c r="Q29" i="71"/>
  <c r="P29" i="71"/>
  <c r="O29" i="71"/>
  <c r="C30" i="71" s="1"/>
  <c r="N29" i="71"/>
  <c r="D29" i="71"/>
  <c r="O28" i="71"/>
  <c r="N28" i="71"/>
  <c r="B30" i="71"/>
  <c r="B31" i="71"/>
  <c r="B32" i="71" s="1"/>
  <c r="S32" i="71"/>
  <c r="E30" i="71"/>
  <c r="B34" i="71"/>
  <c r="B35" i="71"/>
  <c r="B36" i="71"/>
  <c r="S36" i="71" s="1"/>
  <c r="E38" i="71"/>
  <c r="E39" i="71"/>
  <c r="E40" i="71" s="1"/>
  <c r="U40" i="71"/>
  <c r="AA37" i="71"/>
  <c r="X32" i="71"/>
  <c r="C34" i="71"/>
  <c r="AB37" i="71"/>
  <c r="X38" i="71"/>
  <c r="AA38" i="71"/>
  <c r="C28" i="71"/>
  <c r="D34" i="71"/>
  <c r="D38" i="71"/>
  <c r="D42" i="71"/>
  <c r="C51" i="71"/>
  <c r="C52" i="71" s="1"/>
  <c r="D50" i="71"/>
  <c r="P28" i="71"/>
  <c r="U56" i="71"/>
  <c r="E63" i="71"/>
  <c r="E64" i="71" s="1"/>
  <c r="U64" i="71" s="1"/>
  <c r="U68" i="71"/>
  <c r="E67" i="71"/>
  <c r="Q28" i="71"/>
  <c r="C55" i="71"/>
  <c r="D54" i="71"/>
  <c r="C59" i="71"/>
  <c r="D58" i="71"/>
  <c r="D62" i="71"/>
  <c r="T68" i="71"/>
  <c r="O68" i="71"/>
  <c r="D68" i="71"/>
  <c r="C67" i="71"/>
  <c r="D67" i="71" s="1"/>
  <c r="Q68" i="71"/>
  <c r="C71" i="71"/>
  <c r="E71" i="71"/>
  <c r="E70" i="71"/>
  <c r="D72" i="71"/>
  <c r="C75" i="71"/>
  <c r="D76" i="71"/>
  <c r="C79" i="71"/>
  <c r="E79" i="71"/>
  <c r="E78" i="71"/>
  <c r="D80" i="71"/>
  <c r="C83" i="71"/>
  <c r="C87" i="71"/>
  <c r="T28" i="71"/>
  <c r="C27" i="71"/>
  <c r="F28" i="71"/>
  <c r="F27" i="71"/>
  <c r="F26" i="71"/>
  <c r="AB28" i="71"/>
  <c r="E28" i="71"/>
  <c r="E27" i="71" s="1"/>
  <c r="E26" i="71" s="1"/>
  <c r="D28" i="71"/>
  <c r="U28" i="71" s="1"/>
  <c r="C66" i="71"/>
  <c r="O65" i="71" s="1"/>
  <c r="O67" i="71"/>
  <c r="D83" i="71"/>
  <c r="C82" i="71"/>
  <c r="D82" i="71" s="1"/>
  <c r="D75" i="71"/>
  <c r="C74" i="71"/>
  <c r="D74" i="71" s="1"/>
  <c r="D87" i="71"/>
  <c r="C86" i="71"/>
  <c r="D86" i="71" s="1"/>
  <c r="D79" i="71"/>
  <c r="C78" i="71"/>
  <c r="D78" i="71" s="1"/>
  <c r="D71" i="71"/>
  <c r="C70" i="71"/>
  <c r="D70" i="71"/>
  <c r="C60" i="71"/>
  <c r="D59" i="71"/>
  <c r="C56" i="71"/>
  <c r="D56" i="71" s="1"/>
  <c r="D55" i="71"/>
  <c r="P67" i="71"/>
  <c r="E66" i="71"/>
  <c r="D51" i="71"/>
  <c r="D39" i="71"/>
  <c r="V28" i="71"/>
  <c r="P65" i="71"/>
  <c r="P66" i="71"/>
  <c r="O66" i="71"/>
  <c r="D66"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F18" i="36"/>
  <c r="AA18" i="36" s="1"/>
  <c r="C18" i="36"/>
  <c r="Q18" i="35"/>
  <c r="Z18" i="35" s="1"/>
  <c r="D68" i="35"/>
  <c r="E68" i="35"/>
  <c r="F68" i="35" s="1"/>
  <c r="F18" i="35"/>
  <c r="S18" i="35" s="1"/>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H18" i="35"/>
  <c r="AB18" i="35" s="1"/>
  <c r="G68" i="35"/>
  <c r="J18" i="35"/>
  <c r="H21" i="37"/>
  <c r="F21" i="37"/>
  <c r="AA21" i="37" s="1"/>
  <c r="H21" i="34"/>
  <c r="AB21" i="34" s="1"/>
  <c r="H21" i="33"/>
  <c r="U21" i="33" s="1"/>
  <c r="F21" i="33"/>
  <c r="E83" i="21"/>
  <c r="F83" i="21" s="1"/>
  <c r="G83" i="21" s="1"/>
  <c r="H1" i="69"/>
  <c r="U25" i="40"/>
  <c r="U29" i="39"/>
  <c r="W29" i="39"/>
  <c r="AB21" i="37"/>
  <c r="U21" i="37"/>
  <c r="S21" i="37"/>
  <c r="U21" i="34"/>
  <c r="AB21" i="33"/>
  <c r="AA21" i="33"/>
  <c r="S21" i="33"/>
  <c r="U18" i="35"/>
  <c r="AC18" i="35"/>
  <c r="W18" i="35"/>
  <c r="J21" i="37"/>
  <c r="W21" i="37" s="1"/>
  <c r="J21" i="34"/>
  <c r="W21" i="34" s="1"/>
  <c r="J21" i="33"/>
  <c r="W21" i="33" s="1"/>
  <c r="H21" i="21"/>
  <c r="F38" i="69"/>
  <c r="E37" i="69"/>
  <c r="F36" i="69"/>
  <c r="F35" i="69"/>
  <c r="F21" i="69"/>
  <c r="F40" i="69" s="1"/>
  <c r="F20" i="69"/>
  <c r="F39" i="69" s="1"/>
  <c r="E10" i="69"/>
  <c r="E9" i="69"/>
  <c r="AC21" i="34"/>
  <c r="AC21" i="33"/>
  <c r="J21" i="21"/>
  <c r="F38" i="68"/>
  <c r="E37" i="68"/>
  <c r="F36" i="68"/>
  <c r="F35" i="68"/>
  <c r="F21" i="68"/>
  <c r="F40" i="68" s="1"/>
  <c r="C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D51" i="43" s="1"/>
  <c r="J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G100" i="3" s="1"/>
  <c r="H100" i="3"/>
  <c r="BT99" i="3"/>
  <c r="BS99" i="3"/>
  <c r="BR99" i="3"/>
  <c r="BQ99" i="3"/>
  <c r="BP99" i="3"/>
  <c r="BO99" i="3"/>
  <c r="BN99" i="3"/>
  <c r="BM99" i="3"/>
  <c r="BL99" i="3"/>
  <c r="BK99" i="3"/>
  <c r="BJ99" i="3"/>
  <c r="BI99" i="3"/>
  <c r="BH99" i="3"/>
  <c r="BG99" i="3"/>
  <c r="BF99" i="3"/>
  <c r="BE99" i="3"/>
  <c r="BD99" i="3"/>
  <c r="BC99" i="3"/>
  <c r="BA99" i="3" s="1"/>
  <c r="BB99" i="3"/>
  <c r="AZ99" i="3"/>
  <c r="AX99" i="3"/>
  <c r="AW99" i="3"/>
  <c r="AV99" i="3"/>
  <c r="AC99" i="3"/>
  <c r="H99" i="3"/>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N90" i="3"/>
  <c r="BM90" i="3"/>
  <c r="BL90" i="3"/>
  <c r="BK90" i="3"/>
  <c r="BJ90" i="3"/>
  <c r="BI90" i="3"/>
  <c r="BH90" i="3"/>
  <c r="BG90" i="3"/>
  <c r="BF90" i="3"/>
  <c r="BE90" i="3"/>
  <c r="BD90" i="3"/>
  <c r="BC90" i="3"/>
  <c r="BA90" i="3" s="1"/>
  <c r="BB90" i="3"/>
  <c r="AZ90" i="3"/>
  <c r="AX90" i="3"/>
  <c r="AW90" i="3"/>
  <c r="AV90" i="3"/>
  <c r="AC90" i="3"/>
  <c r="H90" i="3"/>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BT80" i="3"/>
  <c r="BS80" i="3"/>
  <c r="BR80" i="3"/>
  <c r="BQ80" i="3"/>
  <c r="BP80" i="3"/>
  <c r="BO80" i="3"/>
  <c r="BN80" i="3"/>
  <c r="BL80" i="3" s="1"/>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G77" i="3" s="1"/>
  <c r="H77" i="3"/>
  <c r="BT76" i="3"/>
  <c r="BS76" i="3"/>
  <c r="BR76" i="3"/>
  <c r="BQ76" i="3"/>
  <c r="BP76" i="3"/>
  <c r="BO76" i="3"/>
  <c r="BN76" i="3"/>
  <c r="BM76" i="3"/>
  <c r="BL76" i="3"/>
  <c r="BK76" i="3"/>
  <c r="BJ76" i="3"/>
  <c r="BI76" i="3"/>
  <c r="BH76" i="3"/>
  <c r="BG76" i="3"/>
  <c r="BF76" i="3"/>
  <c r="BE76" i="3"/>
  <c r="BD76" i="3"/>
  <c r="BC76" i="3"/>
  <c r="BA76" i="3" s="1"/>
  <c r="AZ76" i="3" s="1"/>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G64" i="3" s="1"/>
  <c r="H64" i="3"/>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L45" i="3" s="1"/>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A41" i="3" s="1"/>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L38" i="3" s="1"/>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A36" i="3" s="1"/>
  <c r="BC36" i="3"/>
  <c r="BB36" i="3"/>
  <c r="AZ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c r="BK33" i="3"/>
  <c r="BJ33" i="3"/>
  <c r="BI33" i="3"/>
  <c r="BH33" i="3"/>
  <c r="BG33" i="3"/>
  <c r="BF33" i="3"/>
  <c r="BE33" i="3"/>
  <c r="BD33" i="3"/>
  <c r="BA33" i="3" s="1"/>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A26" i="3" s="1"/>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K22" i="3"/>
  <c r="BJ22" i="3"/>
  <c r="BI22" i="3"/>
  <c r="BH22" i="3"/>
  <c r="BG22" i="3"/>
  <c r="BF22" i="3"/>
  <c r="BE22" i="3"/>
  <c r="BD22" i="3"/>
  <c r="BC22" i="3"/>
  <c r="BA22" i="3" s="1"/>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N193" i="3"/>
  <c r="BM193" i="3"/>
  <c r="BL193" i="3" s="1"/>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L190" i="3" s="1"/>
  <c r="BK190" i="3"/>
  <c r="BJ190" i="3"/>
  <c r="BI190" i="3"/>
  <c r="BH190" i="3"/>
  <c r="BG190" i="3"/>
  <c r="BF190" i="3"/>
  <c r="BE190" i="3"/>
  <c r="BD190" i="3"/>
  <c r="BC190" i="3"/>
  <c r="BA190" i="3" s="1"/>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A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L158" i="3" s="1"/>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A138" i="3" s="1"/>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L130" i="3" s="1"/>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L113" i="3" s="1"/>
  <c r="BK113" i="3"/>
  <c r="BJ113" i="3"/>
  <c r="BI113" i="3"/>
  <c r="BH113" i="3"/>
  <c r="BG113" i="3"/>
  <c r="BF113" i="3"/>
  <c r="BE113" i="3"/>
  <c r="BD113" i="3"/>
  <c r="BC113" i="3"/>
  <c r="BA113" i="3" s="1"/>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A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A252" i="3" s="1"/>
  <c r="AZ252" i="3" s="1"/>
  <c r="BB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BA247" i="3" s="1"/>
  <c r="AZ247" i="3" s="1"/>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A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L439" i="3" s="1"/>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AZ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L431" i="3" s="1"/>
  <c r="BK431" i="3"/>
  <c r="BJ431" i="3"/>
  <c r="BI431" i="3"/>
  <c r="BH431" i="3"/>
  <c r="BG431" i="3"/>
  <c r="BF431" i="3"/>
  <c r="BE431" i="3"/>
  <c r="BD431" i="3"/>
  <c r="BC431" i="3"/>
  <c r="BA431" i="3" s="1"/>
  <c r="AZ431" i="3" s="1"/>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L428" i="3" s="1"/>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s="1"/>
  <c r="AZ426" i="3" s="1"/>
  <c r="BC426" i="3"/>
  <c r="BB426" i="3"/>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A415" i="3" s="1"/>
  <c r="AZ415" i="3" s="1"/>
  <c r="BC415" i="3"/>
  <c r="BB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s="1"/>
  <c r="AZ398" i="3" s="1"/>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R116" i="31"/>
  <c r="S116" i="31" s="1"/>
  <c r="R117" i="31"/>
  <c r="R118" i="31"/>
  <c r="R119" i="31"/>
  <c r="R120" i="31"/>
  <c r="S120" i="31" s="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S286" i="31" s="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S500" i="31" s="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A13" i="3" s="1"/>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19" i="31"/>
  <c r="S118" i="31"/>
  <c r="S117" i="31"/>
  <c r="S115" i="31"/>
  <c r="S114" i="31"/>
  <c r="S113" i="31"/>
  <c r="S506" i="31"/>
  <c r="S504"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5" i="31"/>
  <c r="S74" i="31"/>
  <c r="S73" i="31"/>
  <c r="S71" i="31"/>
  <c r="S70" i="31"/>
  <c r="S69" i="31"/>
  <c r="S67" i="31"/>
  <c r="S66" i="31"/>
  <c r="S65" i="31"/>
  <c r="S63" i="31"/>
  <c r="S62" i="31"/>
  <c r="S61" i="31"/>
  <c r="S59" i="31"/>
  <c r="S58" i="31"/>
  <c r="S57" i="31"/>
  <c r="S55" i="31"/>
  <c r="S24" i="31"/>
  <c r="S97" i="31"/>
  <c r="S95" i="31"/>
  <c r="S94" i="31"/>
  <c r="S93" i="31"/>
  <c r="S91" i="31"/>
  <c r="S90" i="31"/>
  <c r="S89" i="31"/>
  <c r="S87" i="31"/>
  <c r="S86" i="31"/>
  <c r="S85" i="31"/>
  <c r="S83" i="31"/>
  <c r="S82" i="31"/>
  <c r="S81" i="31"/>
  <c r="S79" i="31"/>
  <c r="S78" i="31"/>
  <c r="S31" i="31"/>
  <c r="S30" i="31"/>
  <c r="S29" i="31"/>
  <c r="S98" i="31"/>
  <c r="S99" i="31"/>
  <c r="S101" i="31"/>
  <c r="S102" i="31"/>
  <c r="S103" i="31"/>
  <c r="S105" i="31"/>
  <c r="S106" i="31"/>
  <c r="S107"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T5" i="3" s="1"/>
  <c r="G28" i="6" s="1"/>
  <c r="H549" i="3"/>
  <c r="AC549" i="3"/>
  <c r="BB549" i="3"/>
  <c r="BC549" i="3"/>
  <c r="BA549" i="3" s="1"/>
  <c r="BD549" i="3"/>
  <c r="BE549" i="3"/>
  <c r="BF549" i="3"/>
  <c r="BG549" i="3"/>
  <c r="BG5" i="3" s="1"/>
  <c r="BH549" i="3"/>
  <c r="BI549" i="3"/>
  <c r="BJ549" i="3"/>
  <c r="BK549" i="3"/>
  <c r="BK5" i="3" s="1"/>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L550" i="3" s="1"/>
  <c r="BT550" i="3"/>
  <c r="H551" i="3"/>
  <c r="AC551" i="3"/>
  <c r="BB551" i="3"/>
  <c r="BC551" i="3"/>
  <c r="BD551" i="3"/>
  <c r="BE551" i="3"/>
  <c r="BF551" i="3"/>
  <c r="BG551" i="3"/>
  <c r="BH551" i="3"/>
  <c r="BA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s="1"/>
  <c r="G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F107" i="37" s="1"/>
  <c r="G107" i="37" s="1"/>
  <c r="H107" i="37" s="1"/>
  <c r="I107" i="37" s="1"/>
  <c r="D105" i="37"/>
  <c r="E105" i="37" s="1"/>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F9" i="36" s="1"/>
  <c r="AA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Q30" i="35"/>
  <c r="Z30" i="35"/>
  <c r="Q29" i="35"/>
  <c r="Z29" i="35" s="1"/>
  <c r="Q28" i="35"/>
  <c r="Z28" i="35" s="1"/>
  <c r="J28" i="35"/>
  <c r="AC28" i="35" s="1"/>
  <c r="H28" i="35"/>
  <c r="AB28" i="35"/>
  <c r="F28" i="35"/>
  <c r="AA28" i="35" s="1"/>
  <c r="Q27" i="35"/>
  <c r="Z27" i="35" s="1"/>
  <c r="Q26" i="35"/>
  <c r="Z26" i="35" s="1"/>
  <c r="Q25" i="35"/>
  <c r="Z25" i="35"/>
  <c r="Q24" i="35"/>
  <c r="Z24" i="35" s="1"/>
  <c r="Q23" i="35"/>
  <c r="Z23" i="35" s="1"/>
  <c r="J23" i="35"/>
  <c r="AC23" i="35" s="1"/>
  <c r="Q22" i="35"/>
  <c r="Z22" i="35"/>
  <c r="Q20" i="35"/>
  <c r="Z20" i="35" s="1"/>
  <c r="Q16" i="35"/>
  <c r="Z16" i="35" s="1"/>
  <c r="Q14" i="35"/>
  <c r="Z14" i="35" s="1"/>
  <c r="Q13" i="35"/>
  <c r="Z13" i="35"/>
  <c r="Q12" i="35"/>
  <c r="Z12" i="35" s="1"/>
  <c r="J12" i="35"/>
  <c r="W12" i="35" s="1"/>
  <c r="H12" i="35"/>
  <c r="U12" i="35" s="1"/>
  <c r="F12" i="35"/>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c r="D124" i="34"/>
  <c r="E124" i="34"/>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s="1"/>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s="1"/>
  <c r="F82" i="34" s="1"/>
  <c r="G82" i="34"/>
  <c r="D80" i="34"/>
  <c r="E80" i="34"/>
  <c r="F80" i="34" s="1"/>
  <c r="G80" i="34" s="1"/>
  <c r="D78" i="34"/>
  <c r="E78" i="34" s="1"/>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c r="Q31" i="34"/>
  <c r="Z31" i="34" s="1"/>
  <c r="Q30" i="34"/>
  <c r="Z30" i="34" s="1"/>
  <c r="Q29" i="34"/>
  <c r="Z29" i="34" s="1"/>
  <c r="Q28" i="34"/>
  <c r="Z28" i="34"/>
  <c r="Q27" i="34"/>
  <c r="Z27" i="34" s="1"/>
  <c r="Q25" i="34"/>
  <c r="Z25" i="34" s="1"/>
  <c r="Q23" i="34"/>
  <c r="Z23" i="34" s="1"/>
  <c r="C23" i="34"/>
  <c r="Q19" i="34"/>
  <c r="Z19" i="34" s="1"/>
  <c r="C19" i="34"/>
  <c r="Q17" i="34"/>
  <c r="Z17" i="34"/>
  <c r="C17" i="34"/>
  <c r="Q15" i="34"/>
  <c r="Z15" i="34"/>
  <c r="Q14" i="34"/>
  <c r="Z14" i="34" s="1"/>
  <c r="Q13" i="34"/>
  <c r="Z13" i="34"/>
  <c r="Q12" i="34"/>
  <c r="Z12" i="34" s="1"/>
  <c r="H12" i="34"/>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F81" i="33" s="1"/>
  <c r="D79" i="33"/>
  <c r="E79" i="33"/>
  <c r="D77" i="33"/>
  <c r="E77" i="33" s="1"/>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C24" i="20"/>
  <c r="B97" i="43" s="1"/>
  <c r="B75" i="43"/>
  <c r="C21" i="20"/>
  <c r="C20" i="20"/>
  <c r="C18" i="20"/>
  <c r="C17" i="20"/>
  <c r="B61" i="43"/>
  <c r="C16" i="20"/>
  <c r="C17" i="39" s="1"/>
  <c r="C15" i="20"/>
  <c r="B72" i="43" s="1"/>
  <c r="E54" i="21"/>
  <c r="F54" i="21" s="1"/>
  <c r="I54" i="21"/>
  <c r="J54" i="21" s="1"/>
  <c r="G54" i="21"/>
  <c r="H54" i="21" s="1"/>
  <c r="D125" i="21"/>
  <c r="E125" i="21"/>
  <c r="F125" i="21" s="1"/>
  <c r="G125" i="21" s="1"/>
  <c r="D123" i="21"/>
  <c r="E123" i="21" s="1"/>
  <c r="F123" i="21" s="1"/>
  <c r="F42" i="21"/>
  <c r="D119" i="21"/>
  <c r="F40" i="21"/>
  <c r="AA40" i="21"/>
  <c r="D117" i="21"/>
  <c r="E117" i="21"/>
  <c r="F117" i="21" s="1"/>
  <c r="G117" i="21" s="1"/>
  <c r="D115" i="21"/>
  <c r="E115" i="21" s="1"/>
  <c r="F115" i="21" s="1"/>
  <c r="G115" i="21" s="1"/>
  <c r="H115" i="21" s="1"/>
  <c r="I115" i="21"/>
  <c r="J115" i="21" s="1"/>
  <c r="K115" i="21" s="1"/>
  <c r="L115" i="21" s="1"/>
  <c r="M115" i="21" s="1"/>
  <c r="D113" i="21"/>
  <c r="E113" i="21"/>
  <c r="F113" i="21"/>
  <c r="G113" i="21" s="1"/>
  <c r="H113" i="21" s="1"/>
  <c r="D110" i="21"/>
  <c r="E110" i="21" s="1"/>
  <c r="F110" i="21" s="1"/>
  <c r="G110" i="21" s="1"/>
  <c r="H110" i="21" s="1"/>
  <c r="I110" i="21" s="1"/>
  <c r="J110" i="21" s="1"/>
  <c r="K110" i="21" s="1"/>
  <c r="L110" i="21"/>
  <c r="M110" i="21" s="1"/>
  <c r="J36" i="21"/>
  <c r="AC36" i="21" s="1"/>
  <c r="D108" i="21"/>
  <c r="E108" i="21"/>
  <c r="F108" i="21" s="1"/>
  <c r="G108" i="21" s="1"/>
  <c r="H108" i="21"/>
  <c r="I108" i="21" s="1"/>
  <c r="J108" i="21" s="1"/>
  <c r="K108" i="21" s="1"/>
  <c r="L108" i="21" s="1"/>
  <c r="M108" i="21" s="1"/>
  <c r="D106" i="21"/>
  <c r="E106" i="21" s="1"/>
  <c r="F106" i="2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J46" i="21" s="1"/>
  <c r="W46" i="21" s="1"/>
  <c r="B128" i="21"/>
  <c r="J45" i="21"/>
  <c r="W45" i="21" s="1"/>
  <c r="B126" i="21"/>
  <c r="B98" i="21"/>
  <c r="B96" i="21"/>
  <c r="B94" i="21"/>
  <c r="J29" i="21"/>
  <c r="AC29" i="21" s="1"/>
  <c r="B92" i="21"/>
  <c r="B90" i="21"/>
  <c r="J27" i="21"/>
  <c r="W27" i="21" s="1"/>
  <c r="B74" i="21"/>
  <c r="B72" i="21"/>
  <c r="H13" i="2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E5" i="3" s="1"/>
  <c r="BF586" i="3"/>
  <c r="BG586" i="3"/>
  <c r="BH586" i="3"/>
  <c r="BI586" i="3"/>
  <c r="BI5" i="3" s="1"/>
  <c r="BJ586" i="3"/>
  <c r="BK586" i="3"/>
  <c r="BM586" i="3"/>
  <c r="BN586" i="3"/>
  <c r="BO586" i="3"/>
  <c r="BP586" i="3"/>
  <c r="BQ586" i="3"/>
  <c r="BL586" i="3" s="1"/>
  <c r="BR586" i="3"/>
  <c r="BS586" i="3"/>
  <c r="BT586" i="3"/>
  <c r="BB587" i="3"/>
  <c r="BC587" i="3"/>
  <c r="BD587" i="3"/>
  <c r="BE587" i="3"/>
  <c r="BF587" i="3"/>
  <c r="BG587" i="3"/>
  <c r="BH587" i="3"/>
  <c r="BI587" i="3"/>
  <c r="BJ587" i="3"/>
  <c r="BJ5" i="3" s="1"/>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J26" i="21"/>
  <c r="W26" i="21"/>
  <c r="F26" i="21"/>
  <c r="S26" i="21"/>
  <c r="AB41" i="21"/>
  <c r="S41" i="21"/>
  <c r="AA41" i="21"/>
  <c r="F45" i="39"/>
  <c r="S45" i="39" s="1"/>
  <c r="J45" i="39"/>
  <c r="W45" i="39" s="1"/>
  <c r="J44" i="39"/>
  <c r="AC44" i="39" s="1"/>
  <c r="F36" i="39"/>
  <c r="S36" i="39" s="1"/>
  <c r="H36" i="39"/>
  <c r="J35" i="39"/>
  <c r="AC35" i="39" s="1"/>
  <c r="F35" i="39"/>
  <c r="AA35" i="39" s="1"/>
  <c r="J36" i="39"/>
  <c r="AC36" i="39" s="1"/>
  <c r="U9" i="39"/>
  <c r="W40" i="39"/>
  <c r="W25" i="37"/>
  <c r="U30" i="37"/>
  <c r="W31" i="37"/>
  <c r="E103" i="37"/>
  <c r="F103" i="37"/>
  <c r="G103" i="37" s="1"/>
  <c r="H103" i="37"/>
  <c r="I103" i="37" s="1"/>
  <c r="J103" i="37"/>
  <c r="K103" i="37" s="1"/>
  <c r="L103" i="37" s="1"/>
  <c r="M103" i="37" s="1"/>
  <c r="F39" i="37"/>
  <c r="S39" i="37" s="1"/>
  <c r="U14" i="37"/>
  <c r="F29" i="36"/>
  <c r="AA29" i="36" s="1"/>
  <c r="F16" i="36"/>
  <c r="AA16" i="36" s="1"/>
  <c r="W28" i="36"/>
  <c r="U31" i="36"/>
  <c r="J33" i="36"/>
  <c r="AC33" i="36" s="1"/>
  <c r="H22" i="35"/>
  <c r="AB22" i="35" s="1"/>
  <c r="AC27" i="35"/>
  <c r="W28" i="35"/>
  <c r="U31" i="35"/>
  <c r="W22" i="35"/>
  <c r="S31" i="35"/>
  <c r="F36" i="34"/>
  <c r="J35" i="34"/>
  <c r="W35" i="34" s="1"/>
  <c r="H39" i="33"/>
  <c r="AB39" i="33"/>
  <c r="F26" i="33"/>
  <c r="AA26" i="33"/>
  <c r="U33" i="33"/>
  <c r="U35" i="33"/>
  <c r="S40" i="33"/>
  <c r="W33" i="33"/>
  <c r="W39" i="33"/>
  <c r="H39" i="37"/>
  <c r="AB39" i="37" s="1"/>
  <c r="S27" i="35"/>
  <c r="F11" i="40"/>
  <c r="AA11" i="40" s="1"/>
  <c r="H11" i="40"/>
  <c r="AB11" i="40"/>
  <c r="W8" i="40"/>
  <c r="AB39" i="40"/>
  <c r="AA9" i="40"/>
  <c r="AC9" i="40"/>
  <c r="U9" i="40"/>
  <c r="S34" i="40"/>
  <c r="U38" i="40"/>
  <c r="S40" i="40"/>
  <c r="W31" i="40"/>
  <c r="U34" i="40"/>
  <c r="S38"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c r="E100" i="39"/>
  <c r="F100" i="39" s="1"/>
  <c r="H19" i="39"/>
  <c r="AB19" i="39" s="1"/>
  <c r="F19" i="39"/>
  <c r="AA19" i="39" s="1"/>
  <c r="H17" i="39"/>
  <c r="AB17" i="39" s="1"/>
  <c r="F17" i="39"/>
  <c r="J23" i="40"/>
  <c r="AC23" i="40"/>
  <c r="F21" i="40"/>
  <c r="AA21" i="40"/>
  <c r="J21" i="40"/>
  <c r="W21" i="40"/>
  <c r="H42" i="39"/>
  <c r="AB42" i="39" s="1"/>
  <c r="J34" i="39"/>
  <c r="J31" i="39"/>
  <c r="H27" i="39"/>
  <c r="J19" i="39"/>
  <c r="AC19" i="39" s="1"/>
  <c r="J17" i="39"/>
  <c r="J27" i="39"/>
  <c r="AC27" i="39"/>
  <c r="F27" i="39"/>
  <c r="F11" i="21"/>
  <c r="S11" i="21" s="1"/>
  <c r="S40" i="21"/>
  <c r="U34" i="21"/>
  <c r="S34" i="21"/>
  <c r="C27" i="39"/>
  <c r="C21" i="39"/>
  <c r="H11" i="39"/>
  <c r="S40" i="39"/>
  <c r="C15" i="39"/>
  <c r="H32" i="33"/>
  <c r="H11" i="21"/>
  <c r="U11" i="21" s="1"/>
  <c r="J11" i="21"/>
  <c r="W11" i="21" s="1"/>
  <c r="H37" i="40"/>
  <c r="H36" i="40"/>
  <c r="AB36" i="40"/>
  <c r="F35" i="40"/>
  <c r="H23" i="40"/>
  <c r="AB23" i="40" s="1"/>
  <c r="H17" i="40"/>
  <c r="J15" i="40"/>
  <c r="W15" i="40" s="1"/>
  <c r="J11" i="40"/>
  <c r="AB8" i="39"/>
  <c r="AB12" i="33"/>
  <c r="AC12" i="34"/>
  <c r="AB12" i="35"/>
  <c r="AB12" i="36"/>
  <c r="W32" i="40"/>
  <c r="S44" i="39"/>
  <c r="F37" i="39"/>
  <c r="AA37" i="39" s="1"/>
  <c r="J34" i="36"/>
  <c r="W34" i="36" s="1"/>
  <c r="U30" i="36"/>
  <c r="J30" i="35"/>
  <c r="W30" i="35" s="1"/>
  <c r="H30" i="35"/>
  <c r="AB30" i="35" s="1"/>
  <c r="F22" i="35"/>
  <c r="H10" i="35"/>
  <c r="U10" i="35" s="1"/>
  <c r="AC16" i="36"/>
  <c r="F33" i="36"/>
  <c r="W30" i="36"/>
  <c r="H16" i="36"/>
  <c r="AB16" i="36"/>
  <c r="E85" i="36"/>
  <c r="F85" i="36"/>
  <c r="G85" i="36" s="1"/>
  <c r="H85" i="36"/>
  <c r="I85" i="36" s="1"/>
  <c r="J85" i="36" s="1"/>
  <c r="K85" i="36" s="1"/>
  <c r="L85" i="36" s="1"/>
  <c r="M85" i="36" s="1"/>
  <c r="J29" i="36"/>
  <c r="AC29" i="36" s="1"/>
  <c r="F12" i="36"/>
  <c r="F24" i="36"/>
  <c r="F34" i="36"/>
  <c r="S34" i="36" s="1"/>
  <c r="F14" i="35"/>
  <c r="F23" i="35"/>
  <c r="AA23" i="35" s="1"/>
  <c r="J32" i="35"/>
  <c r="AC32" i="35" s="1"/>
  <c r="J16" i="35"/>
  <c r="AC16" i="35"/>
  <c r="H16" i="35"/>
  <c r="U16" i="35"/>
  <c r="F16" i="35"/>
  <c r="S16" i="35" s="1"/>
  <c r="H14" i="35"/>
  <c r="AB14" i="35"/>
  <c r="J29" i="35"/>
  <c r="H33" i="35"/>
  <c r="AB33" i="35"/>
  <c r="J20" i="35"/>
  <c r="W20" i="35" s="1"/>
  <c r="F35" i="37"/>
  <c r="S35" i="37"/>
  <c r="E101" i="37"/>
  <c r="F101" i="37" s="1"/>
  <c r="G101" i="37" s="1"/>
  <c r="H101" i="37" s="1"/>
  <c r="I101" i="37" s="1"/>
  <c r="J101" i="37" s="1"/>
  <c r="K101" i="37" s="1"/>
  <c r="L101" i="37" s="1"/>
  <c r="M101" i="37" s="1"/>
  <c r="J34" i="37"/>
  <c r="W34" i="37"/>
  <c r="AA39" i="37"/>
  <c r="AB34" i="37"/>
  <c r="J33" i="37"/>
  <c r="AC33" i="37" s="1"/>
  <c r="U42" i="34"/>
  <c r="H40" i="34"/>
  <c r="U40" i="34"/>
  <c r="E114" i="34"/>
  <c r="H36" i="34"/>
  <c r="U36" i="34"/>
  <c r="F37" i="34"/>
  <c r="S35" i="34"/>
  <c r="F28" i="34"/>
  <c r="AA28" i="34" s="1"/>
  <c r="F27" i="34"/>
  <c r="F25" i="34"/>
  <c r="S25" i="34" s="1"/>
  <c r="H23" i="34"/>
  <c r="J23" i="34"/>
  <c r="F19" i="34"/>
  <c r="H17" i="34"/>
  <c r="U17" i="34" s="1"/>
  <c r="F15" i="34"/>
  <c r="J15" i="34"/>
  <c r="H15"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s="1"/>
  <c r="S26" i="33"/>
  <c r="U40" i="33"/>
  <c r="W40" i="33"/>
  <c r="F37" i="40"/>
  <c r="AA37" i="40"/>
  <c r="F36" i="40"/>
  <c r="AA36" i="40"/>
  <c r="H28" i="40"/>
  <c r="U28" i="40"/>
  <c r="F23" i="40"/>
  <c r="AA23" i="40" s="1"/>
  <c r="F17" i="40"/>
  <c r="AA17" i="40"/>
  <c r="J17" i="40"/>
  <c r="W17" i="40" s="1"/>
  <c r="F15" i="40"/>
  <c r="S15" i="40"/>
  <c r="H15" i="40"/>
  <c r="AB15" i="40" s="1"/>
  <c r="S12" i="36"/>
  <c r="AA12" i="36"/>
  <c r="AB30" i="36"/>
  <c r="U33" i="35"/>
  <c r="F29" i="35"/>
  <c r="H29" i="35"/>
  <c r="AB29" i="35" s="1"/>
  <c r="H33" i="37"/>
  <c r="AB33" i="37" s="1"/>
  <c r="F33" i="37"/>
  <c r="AA33" i="37" s="1"/>
  <c r="U34" i="37"/>
  <c r="S34" i="37"/>
  <c r="AA34" i="37"/>
  <c r="J43" i="34"/>
  <c r="AB42" i="34"/>
  <c r="J40" i="34"/>
  <c r="F114" i="34"/>
  <c r="G114" i="34"/>
  <c r="H114" i="34"/>
  <c r="I114" i="34" s="1"/>
  <c r="J114" i="34" s="1"/>
  <c r="K114" i="34" s="1"/>
  <c r="L114" i="34"/>
  <c r="M114" i="34" s="1"/>
  <c r="H38" i="34"/>
  <c r="AB38" i="34"/>
  <c r="J36" i="34"/>
  <c r="H37" i="34"/>
  <c r="U37" i="34" s="1"/>
  <c r="H25" i="34"/>
  <c r="AB25" i="34"/>
  <c r="J25" i="34"/>
  <c r="AC25" i="34" s="1"/>
  <c r="F23" i="34"/>
  <c r="J19" i="34"/>
  <c r="AC19" i="34"/>
  <c r="F17" i="34"/>
  <c r="J17" i="34"/>
  <c r="W17" i="34"/>
  <c r="AA15" i="34"/>
  <c r="S15" i="34"/>
  <c r="S41" i="33"/>
  <c r="H37" i="33"/>
  <c r="H15" i="33"/>
  <c r="AB15" i="33"/>
  <c r="H11" i="33"/>
  <c r="AB11" i="33" s="1"/>
  <c r="F28" i="40"/>
  <c r="AA28" i="40"/>
  <c r="AA42" i="34"/>
  <c r="S42" i="34"/>
  <c r="AC38" i="34"/>
  <c r="AA38" i="34"/>
  <c r="J37" i="34"/>
  <c r="AC37" i="34" s="1"/>
  <c r="J11" i="33"/>
  <c r="W11" i="33" s="1"/>
  <c r="S28" i="34"/>
  <c r="U23" i="40"/>
  <c r="G123" i="21"/>
  <c r="H123" i="21" s="1"/>
  <c r="I123" i="21" s="1"/>
  <c r="J123" i="21" s="1"/>
  <c r="K123" i="21"/>
  <c r="L123" i="21" s="1"/>
  <c r="M123" i="21" s="1"/>
  <c r="J42" i="21"/>
  <c r="AC42" i="21"/>
  <c r="H42" i="21"/>
  <c r="U42" i="21"/>
  <c r="J44" i="34"/>
  <c r="F44" i="34"/>
  <c r="J10" i="35"/>
  <c r="AC10" i="35" s="1"/>
  <c r="J14" i="21"/>
  <c r="F14" i="21"/>
  <c r="S14" i="21"/>
  <c r="H14" i="21"/>
  <c r="H28" i="21"/>
  <c r="AB28" i="21"/>
  <c r="F28" i="21"/>
  <c r="AA28" i="21" s="1"/>
  <c r="J28" i="21"/>
  <c r="W28" i="21"/>
  <c r="H30" i="21"/>
  <c r="U30" i="21" s="1"/>
  <c r="F30" i="21"/>
  <c r="S30" i="21"/>
  <c r="J30" i="21"/>
  <c r="J44" i="21"/>
  <c r="AC44" i="21"/>
  <c r="H44" i="21"/>
  <c r="U44" i="21" s="1"/>
  <c r="F44" i="21"/>
  <c r="AA44" i="21"/>
  <c r="H46" i="21"/>
  <c r="F46" i="21"/>
  <c r="AA46" i="21" s="1"/>
  <c r="E119" i="21"/>
  <c r="F119" i="21"/>
  <c r="G119" i="2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c r="K89" i="35" s="1"/>
  <c r="L89" i="35" s="1"/>
  <c r="M89" i="35" s="1"/>
  <c r="H10" i="36"/>
  <c r="AB10" i="36" s="1"/>
  <c r="J14" i="36"/>
  <c r="AC14" i="36" s="1"/>
  <c r="H14" i="36"/>
  <c r="U14" i="36"/>
  <c r="F28" i="36"/>
  <c r="AA28" i="36" s="1"/>
  <c r="J13" i="21"/>
  <c r="AC13" i="21"/>
  <c r="H27" i="21"/>
  <c r="F27" i="21"/>
  <c r="AA27" i="21"/>
  <c r="H29" i="21"/>
  <c r="U29" i="21" s="1"/>
  <c r="F31" i="21"/>
  <c r="S31" i="21" s="1"/>
  <c r="F45" i="21"/>
  <c r="AA45" i="21"/>
  <c r="F27" i="33"/>
  <c r="J13" i="33"/>
  <c r="H13" i="33"/>
  <c r="U13" i="33" s="1"/>
  <c r="F13" i="33"/>
  <c r="S13" i="33" s="1"/>
  <c r="J29" i="33"/>
  <c r="AC29" i="33"/>
  <c r="H29" i="33"/>
  <c r="U29" i="33" s="1"/>
  <c r="F29" i="33"/>
  <c r="S29" i="33"/>
  <c r="J31" i="33"/>
  <c r="H31" i="33"/>
  <c r="F31" i="33"/>
  <c r="H45" i="33"/>
  <c r="J45" i="33"/>
  <c r="W45" i="33"/>
  <c r="F45" i="33"/>
  <c r="J14" i="34"/>
  <c r="W14" i="34"/>
  <c r="F14" i="34"/>
  <c r="S14" i="34" s="1"/>
  <c r="H14" i="34"/>
  <c r="H30" i="34"/>
  <c r="F30" i="34"/>
  <c r="J30" i="34"/>
  <c r="W30" i="34"/>
  <c r="H32" i="34"/>
  <c r="AB32" i="34" s="1"/>
  <c r="F32" i="34"/>
  <c r="J32" i="34"/>
  <c r="W32" i="34"/>
  <c r="H46" i="34"/>
  <c r="F46" i="34"/>
  <c r="J46" i="34"/>
  <c r="H11" i="35"/>
  <c r="AB11" i="35" s="1"/>
  <c r="J11" i="35"/>
  <c r="W11" i="35" s="1"/>
  <c r="F11" i="35"/>
  <c r="S11" i="35" s="1"/>
  <c r="J26" i="36"/>
  <c r="H28" i="36"/>
  <c r="U28" i="36" s="1"/>
  <c r="H32" i="36"/>
  <c r="AB32" i="36" s="1"/>
  <c r="J32" i="36"/>
  <c r="W32" i="36" s="1"/>
  <c r="J11" i="36"/>
  <c r="AC11" i="36" s="1"/>
  <c r="H11" i="36"/>
  <c r="U11" i="36" s="1"/>
  <c r="F11" i="36"/>
  <c r="AA11" i="36" s="1"/>
  <c r="H13" i="36"/>
  <c r="J13" i="36"/>
  <c r="F13" i="36"/>
  <c r="S13" i="36"/>
  <c r="E89" i="37"/>
  <c r="F89" i="37" s="1"/>
  <c r="G89" i="37" s="1"/>
  <c r="H89" i="37" s="1"/>
  <c r="I89" i="37" s="1"/>
  <c r="J89" i="37" s="1"/>
  <c r="K89" i="37" s="1"/>
  <c r="L89" i="37" s="1"/>
  <c r="M89" i="37" s="1"/>
  <c r="J29" i="37"/>
  <c r="W29" i="37"/>
  <c r="F29" i="37"/>
  <c r="F105" i="37"/>
  <c r="H36" i="37"/>
  <c r="AB36" i="37"/>
  <c r="J37" i="37"/>
  <c r="AC37" i="37"/>
  <c r="H37" i="37"/>
  <c r="U37" i="37" s="1"/>
  <c r="H40" i="37"/>
  <c r="U40" i="37"/>
  <c r="J40" i="37"/>
  <c r="AC40" i="37" s="1"/>
  <c r="F40" i="37"/>
  <c r="AA40" i="37"/>
  <c r="AC12" i="40"/>
  <c r="W12" i="40"/>
  <c r="H14" i="33"/>
  <c r="U14" i="33"/>
  <c r="F14" i="33"/>
  <c r="J14" i="33"/>
  <c r="H30" i="33"/>
  <c r="AB30" i="33"/>
  <c r="F30" i="33"/>
  <c r="J30" i="33"/>
  <c r="H44" i="33"/>
  <c r="J44" i="33"/>
  <c r="F44" i="33"/>
  <c r="S44" i="33"/>
  <c r="J46" i="33"/>
  <c r="F46" i="33"/>
  <c r="AA46" i="33"/>
  <c r="H46" i="33"/>
  <c r="H13" i="34"/>
  <c r="U13" i="34"/>
  <c r="J13" i="34"/>
  <c r="F13" i="34"/>
  <c r="AA13" i="34" s="1"/>
  <c r="J29" i="34"/>
  <c r="F29" i="34"/>
  <c r="H29" i="34"/>
  <c r="AB29" i="34"/>
  <c r="J31" i="34"/>
  <c r="H31" i="34"/>
  <c r="AB31" i="34"/>
  <c r="F31" i="34"/>
  <c r="H45" i="34"/>
  <c r="U45" i="34"/>
  <c r="J45" i="34"/>
  <c r="W45" i="34" s="1"/>
  <c r="F45" i="34"/>
  <c r="S45" i="34"/>
  <c r="H47" i="34"/>
  <c r="U47" i="34" s="1"/>
  <c r="F47" i="34"/>
  <c r="S47" i="34"/>
  <c r="J47" i="34"/>
  <c r="F13" i="35"/>
  <c r="S13" i="35"/>
  <c r="J13" i="35"/>
  <c r="H13" i="35"/>
  <c r="U13" i="35"/>
  <c r="J25" i="35"/>
  <c r="F25" i="35"/>
  <c r="S25" i="35"/>
  <c r="H25" i="35"/>
  <c r="J35" i="35"/>
  <c r="AC35" i="35"/>
  <c r="F35" i="35"/>
  <c r="H35" i="35"/>
  <c r="AB35" i="35"/>
  <c r="J25" i="36"/>
  <c r="F25" i="36"/>
  <c r="S25" i="36"/>
  <c r="H25" i="36"/>
  <c r="H13" i="37"/>
  <c r="AB13" i="37" s="1"/>
  <c r="F13" i="37"/>
  <c r="S13" i="37"/>
  <c r="J13" i="37"/>
  <c r="W13" i="37" s="1"/>
  <c r="F28" i="37"/>
  <c r="AA28" i="37"/>
  <c r="J28" i="37"/>
  <c r="H28" i="37"/>
  <c r="U28" i="37"/>
  <c r="H38" i="37"/>
  <c r="AB38" i="37" s="1"/>
  <c r="J38" i="37"/>
  <c r="AC38" i="37"/>
  <c r="F38" i="37"/>
  <c r="S38" i="37" s="1"/>
  <c r="H43" i="39"/>
  <c r="AB43" i="39" s="1"/>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c r="F14" i="40"/>
  <c r="J14" i="37"/>
  <c r="AC14" i="37"/>
  <c r="J27" i="37"/>
  <c r="AC27" i="37" s="1"/>
  <c r="AA44" i="33"/>
  <c r="AA13" i="35"/>
  <c r="U31" i="34"/>
  <c r="J36" i="37"/>
  <c r="AC36" i="37"/>
  <c r="G105" i="37"/>
  <c r="J10" i="36"/>
  <c r="AC10" i="36" s="1"/>
  <c r="AB26" i="33"/>
  <c r="AA14" i="37"/>
  <c r="AC13" i="36"/>
  <c r="W13" i="36"/>
  <c r="AC30" i="34"/>
  <c r="AA14" i="34"/>
  <c r="AB31" i="33"/>
  <c r="U31" i="33"/>
  <c r="W29" i="33"/>
  <c r="AC28" i="21"/>
  <c r="BA586" i="3"/>
  <c r="BA585" i="3"/>
  <c r="F17" i="21"/>
  <c r="AA17" i="21"/>
  <c r="H17" i="21"/>
  <c r="F15" i="21"/>
  <c r="S15" i="21" s="1"/>
  <c r="J41" i="39"/>
  <c r="AC45" i="39"/>
  <c r="W44"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BL584" i="3"/>
  <c r="AZ584" i="3" s="1"/>
  <c r="BL580" i="3"/>
  <c r="BL576" i="3"/>
  <c r="BL572" i="3"/>
  <c r="BL568" i="3"/>
  <c r="BL564" i="3"/>
  <c r="BL560" i="3"/>
  <c r="BL554" i="3"/>
  <c r="BL546" i="3"/>
  <c r="AZ546" i="3" s="1"/>
  <c r="BL542" i="3"/>
  <c r="BL538" i="3"/>
  <c r="BL534" i="3"/>
  <c r="BL530" i="3"/>
  <c r="AZ530" i="3" s="1"/>
  <c r="BL526" i="3"/>
  <c r="BL522" i="3"/>
  <c r="BL516" i="3"/>
  <c r="BL512" i="3"/>
  <c r="BL506" i="3"/>
  <c r="BL502" i="3"/>
  <c r="BL498" i="3"/>
  <c r="BL494" i="3"/>
  <c r="BL582" i="3"/>
  <c r="BL578" i="3"/>
  <c r="BL574" i="3"/>
  <c r="BL570" i="3"/>
  <c r="BL566" i="3"/>
  <c r="BL562" i="3"/>
  <c r="BL556" i="3"/>
  <c r="BL552" i="3"/>
  <c r="AZ552" i="3" s="1"/>
  <c r="BL544" i="3"/>
  <c r="BL540" i="3"/>
  <c r="BL536" i="3"/>
  <c r="G533" i="3"/>
  <c r="BL532" i="3"/>
  <c r="G529" i="3"/>
  <c r="BL528" i="3"/>
  <c r="G525" i="3"/>
  <c r="BL524" i="3"/>
  <c r="BL518" i="3"/>
  <c r="BL514" i="3"/>
  <c r="BL510" i="3"/>
  <c r="AZ510" i="3" s="1"/>
  <c r="BL504" i="3"/>
  <c r="BL500" i="3"/>
  <c r="BL496" i="3"/>
  <c r="G493" i="3"/>
  <c r="BA584" i="3"/>
  <c r="BA582" i="3"/>
  <c r="AZ582" i="3" s="1"/>
  <c r="BA580" i="3"/>
  <c r="AZ580" i="3" s="1"/>
  <c r="BA578" i="3"/>
  <c r="AZ578" i="3" s="1"/>
  <c r="BA576" i="3"/>
  <c r="AZ576" i="3" s="1"/>
  <c r="BA574" i="3"/>
  <c r="AZ574" i="3" s="1"/>
  <c r="BA572" i="3"/>
  <c r="AZ572" i="3" s="1"/>
  <c r="BA570" i="3"/>
  <c r="AZ570" i="3" s="1"/>
  <c r="BA568" i="3"/>
  <c r="BA566" i="3"/>
  <c r="AZ566" i="3" s="1"/>
  <c r="BA564" i="3"/>
  <c r="AZ564" i="3" s="1"/>
  <c r="BA562" i="3"/>
  <c r="AZ562" i="3" s="1"/>
  <c r="BA560" i="3"/>
  <c r="AZ560" i="3" s="1"/>
  <c r="BA558" i="3"/>
  <c r="AZ558" i="3"/>
  <c r="BA556" i="3"/>
  <c r="AZ556" i="3"/>
  <c r="BA554" i="3"/>
  <c r="AZ554" i="3"/>
  <c r="BA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BA508" i="3"/>
  <c r="BA506" i="3"/>
  <c r="AZ506" i="3" s="1"/>
  <c r="BA504" i="3"/>
  <c r="AZ504" i="3"/>
  <c r="BA502" i="3"/>
  <c r="BA500" i="3"/>
  <c r="AZ500" i="3" s="1"/>
  <c r="BA498" i="3"/>
  <c r="AZ498" i="3"/>
  <c r="BA496" i="3"/>
  <c r="BA494" i="3"/>
  <c r="BA583" i="3"/>
  <c r="BA581" i="3"/>
  <c r="AZ581" i="3" s="1"/>
  <c r="BA579" i="3"/>
  <c r="BA577" i="3"/>
  <c r="BA575" i="3"/>
  <c r="AZ575" i="3" s="1"/>
  <c r="BA573" i="3"/>
  <c r="BA571" i="3"/>
  <c r="AZ571" i="3" s="1"/>
  <c r="BA569" i="3"/>
  <c r="BA567" i="3"/>
  <c r="AZ567" i="3" s="1"/>
  <c r="BA565" i="3"/>
  <c r="BA563" i="3"/>
  <c r="BA561" i="3"/>
  <c r="BA559" i="3"/>
  <c r="AZ559" i="3" s="1"/>
  <c r="BA555" i="3"/>
  <c r="BA553" i="3"/>
  <c r="BA547" i="3"/>
  <c r="AZ547" i="3" s="1"/>
  <c r="BA545" i="3"/>
  <c r="BA543" i="3"/>
  <c r="BA541" i="3"/>
  <c r="BA539" i="3"/>
  <c r="BA537" i="3"/>
  <c r="BA535" i="3"/>
  <c r="BA533" i="3"/>
  <c r="AZ533" i="3" s="1"/>
  <c r="BA531" i="3"/>
  <c r="BA529" i="3"/>
  <c r="BA527" i="3"/>
  <c r="BA525" i="3"/>
  <c r="BA523" i="3"/>
  <c r="AZ523" i="3" s="1"/>
  <c r="BA519" i="3"/>
  <c r="BA517" i="3"/>
  <c r="AZ517" i="3" s="1"/>
  <c r="BA515" i="3"/>
  <c r="BA513" i="3"/>
  <c r="AZ513" i="3" s="1"/>
  <c r="BA511" i="3"/>
  <c r="BA507" i="3"/>
  <c r="BA505" i="3"/>
  <c r="BA503" i="3"/>
  <c r="AZ503" i="3" s="1"/>
  <c r="BA501" i="3"/>
  <c r="BA499" i="3"/>
  <c r="BA497" i="3"/>
  <c r="BA495" i="3"/>
  <c r="AZ495" i="3" s="1"/>
  <c r="BA493"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s="1"/>
  <c r="BQ571" i="3"/>
  <c r="BL571" i="3"/>
  <c r="BQ569" i="3"/>
  <c r="BL569" i="3" s="1"/>
  <c r="AZ569" i="3"/>
  <c r="BQ567" i="3"/>
  <c r="BL567" i="3"/>
  <c r="BQ565" i="3"/>
  <c r="BL565" i="3" s="1"/>
  <c r="AZ565" i="3" s="1"/>
  <c r="BQ563" i="3"/>
  <c r="BL563" i="3"/>
  <c r="AZ563" i="3" s="1"/>
  <c r="BQ561" i="3"/>
  <c r="BL561" i="3"/>
  <c r="AZ561" i="3" s="1"/>
  <c r="BQ559" i="3"/>
  <c r="BL559" i="3" s="1"/>
  <c r="G559" i="3"/>
  <c r="G555" i="3"/>
  <c r="G553" i="3"/>
  <c r="G549" i="3"/>
  <c r="G547" i="3"/>
  <c r="G545" i="3"/>
  <c r="G543" i="3"/>
  <c r="G541" i="3"/>
  <c r="G539" i="3"/>
  <c r="G537" i="3"/>
  <c r="BQ555" i="3"/>
  <c r="BL555" i="3"/>
  <c r="AZ555" i="3" s="1"/>
  <c r="BQ553" i="3"/>
  <c r="BL553" i="3" s="1"/>
  <c r="AZ553" i="3" s="1"/>
  <c r="BQ551" i="3"/>
  <c r="BL551" i="3"/>
  <c r="BQ549" i="3"/>
  <c r="BQ547" i="3"/>
  <c r="BL547" i="3" s="1"/>
  <c r="BQ545" i="3"/>
  <c r="BL545" i="3"/>
  <c r="AZ545" i="3" s="1"/>
  <c r="BQ543" i="3"/>
  <c r="BL543" i="3" s="1"/>
  <c r="AZ543" i="3" s="1"/>
  <c r="BQ541" i="3"/>
  <c r="BL541" i="3"/>
  <c r="BQ539" i="3"/>
  <c r="BL539" i="3" s="1"/>
  <c r="AZ539" i="3"/>
  <c r="BQ537" i="3"/>
  <c r="BL537" i="3"/>
  <c r="AZ537" i="3" s="1"/>
  <c r="BQ535" i="3"/>
  <c r="BL535" i="3" s="1"/>
  <c r="AZ535" i="3" s="1"/>
  <c r="BQ533" i="3"/>
  <c r="BL533" i="3"/>
  <c r="BQ531" i="3"/>
  <c r="BL531" i="3" s="1"/>
  <c r="AZ531" i="3"/>
  <c r="BQ529" i="3"/>
  <c r="BL529" i="3"/>
  <c r="AZ529" i="3" s="1"/>
  <c r="BQ527" i="3"/>
  <c r="BL527" i="3" s="1"/>
  <c r="AZ527" i="3" s="1"/>
  <c r="BQ525" i="3"/>
  <c r="BL525" i="3"/>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s="1"/>
  <c r="BQ513" i="3"/>
  <c r="BL513" i="3"/>
  <c r="BQ511" i="3"/>
  <c r="BL511" i="3" s="1"/>
  <c r="AZ511" i="3"/>
  <c r="BA509" i="3"/>
  <c r="AC509" i="3"/>
  <c r="BQ509" i="3"/>
  <c r="BL509" i="3"/>
  <c r="AZ509" i="3" s="1"/>
  <c r="BL508" i="3"/>
  <c r="AZ508" i="3"/>
  <c r="G507" i="3"/>
  <c r="G505" i="3"/>
  <c r="G503" i="3"/>
  <c r="G501" i="3"/>
  <c r="G499" i="3"/>
  <c r="G497" i="3"/>
  <c r="G495" i="3"/>
  <c r="BQ507" i="3"/>
  <c r="BL507" i="3" s="1"/>
  <c r="AZ507" i="3"/>
  <c r="BQ505" i="3"/>
  <c r="BL505" i="3"/>
  <c r="AZ505" i="3" s="1"/>
  <c r="BQ503" i="3"/>
  <c r="BL503" i="3" s="1"/>
  <c r="BQ501" i="3"/>
  <c r="BL501" i="3"/>
  <c r="AZ501" i="3" s="1"/>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J25" i="21"/>
  <c r="AC25" i="21" s="1"/>
  <c r="E125" i="33"/>
  <c r="F125" i="33" s="1"/>
  <c r="H43" i="33"/>
  <c r="AB43" i="33" s="1"/>
  <c r="H17" i="37"/>
  <c r="AB27" i="37"/>
  <c r="AA36" i="39"/>
  <c r="F39" i="33"/>
  <c r="AA39" i="33"/>
  <c r="E123" i="33"/>
  <c r="F42" i="33"/>
  <c r="AA42" i="33" s="1"/>
  <c r="H28" i="34"/>
  <c r="AB28" i="34" s="1"/>
  <c r="F14" i="36"/>
  <c r="F22" i="36"/>
  <c r="S22" i="36" s="1"/>
  <c r="F26" i="36"/>
  <c r="S26" i="36" s="1"/>
  <c r="H27" i="34"/>
  <c r="AB27" i="34" s="1"/>
  <c r="H35" i="34"/>
  <c r="F41" i="34"/>
  <c r="S41" i="34" s="1"/>
  <c r="H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S28" i="31"/>
  <c r="S27" i="31"/>
  <c r="S26" i="31"/>
  <c r="U35" i="35"/>
  <c r="W23" i="35"/>
  <c r="W14" i="37"/>
  <c r="AB28" i="37"/>
  <c r="U33" i="37"/>
  <c r="U39" i="37"/>
  <c r="W26" i="37"/>
  <c r="U26" i="37"/>
  <c r="AB13" i="34"/>
  <c r="AA13" i="33"/>
  <c r="AC45" i="33"/>
  <c r="U19" i="21"/>
  <c r="W44" i="21"/>
  <c r="U26" i="21"/>
  <c r="AC46" i="21"/>
  <c r="F43" i="33"/>
  <c r="AA43" i="33"/>
  <c r="W15" i="34"/>
  <c r="AC15" i="34"/>
  <c r="W16" i="35"/>
  <c r="W40" i="37"/>
  <c r="J107" i="37"/>
  <c r="K107" i="37" s="1"/>
  <c r="L107" i="37" s="1"/>
  <c r="M107" i="37" s="1"/>
  <c r="H37" i="21"/>
  <c r="U37" i="21" s="1"/>
  <c r="H19" i="34"/>
  <c r="AB19" i="34" s="1"/>
  <c r="F36" i="35"/>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19" i="40"/>
  <c r="F88" i="40"/>
  <c r="G88" i="40" s="1"/>
  <c r="F19" i="40"/>
  <c r="AC13" i="40"/>
  <c r="AB33" i="40"/>
  <c r="W2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J50" i="40"/>
  <c r="H103" i="9"/>
  <c r="D8" i="53" s="1"/>
  <c r="B16" i="53"/>
  <c r="B33" i="72" s="1"/>
  <c r="W35" i="40"/>
  <c r="A118" i="9"/>
  <c r="A4" i="52"/>
  <c r="B41" i="72" s="1"/>
  <c r="J11" i="39"/>
  <c r="W11" i="39"/>
  <c r="F11" i="39"/>
  <c r="AA11" i="39"/>
  <c r="S11" i="39"/>
  <c r="G4" i="4"/>
  <c r="I4" i="4"/>
  <c r="A2" i="9"/>
  <c r="F61" i="43"/>
  <c r="H64" i="43" s="1"/>
  <c r="AZ20" i="3"/>
  <c r="AZ24" i="3"/>
  <c r="AZ28" i="3"/>
  <c r="AZ32" i="3"/>
  <c r="AZ497" i="3"/>
  <c r="AZ502" i="3"/>
  <c r="AZ514" i="3"/>
  <c r="G546" i="3"/>
  <c r="G524" i="3"/>
  <c r="G303" i="3"/>
  <c r="BL304" i="3"/>
  <c r="G305" i="3"/>
  <c r="BL306" i="3"/>
  <c r="BA308" i="3"/>
  <c r="AZ308" i="3"/>
  <c r="BA309" i="3"/>
  <c r="AZ309" i="3" s="1"/>
  <c r="BL309" i="3"/>
  <c r="G310" i="3"/>
  <c r="BA311" i="3"/>
  <c r="G319" i="3"/>
  <c r="BL320" i="3"/>
  <c r="G321" i="3"/>
  <c r="BL322" i="3"/>
  <c r="BA324" i="3"/>
  <c r="AZ324" i="3" s="1"/>
  <c r="BA325" i="3"/>
  <c r="BL325" i="3"/>
  <c r="G326" i="3"/>
  <c r="BA327" i="3"/>
  <c r="G335" i="3"/>
  <c r="BL336" i="3"/>
  <c r="G337" i="3"/>
  <c r="BL338" i="3"/>
  <c r="BA340" i="3"/>
  <c r="AZ340" i="3"/>
  <c r="BA341" i="3"/>
  <c r="AZ341" i="3" s="1"/>
  <c r="BL341" i="3"/>
  <c r="BA343" i="3"/>
  <c r="BA345" i="3"/>
  <c r="BL355" i="3"/>
  <c r="G356" i="3"/>
  <c r="BL357" i="3"/>
  <c r="BA359" i="3"/>
  <c r="AZ359" i="3"/>
  <c r="BA360" i="3"/>
  <c r="BL360" i="3"/>
  <c r="G361" i="3"/>
  <c r="BA362" i="3"/>
  <c r="AZ362" i="3" s="1"/>
  <c r="G370" i="3"/>
  <c r="BL371" i="3"/>
  <c r="G372" i="3"/>
  <c r="BL373" i="3"/>
  <c r="BA375" i="3"/>
  <c r="AZ375" i="3"/>
  <c r="BA376" i="3"/>
  <c r="AZ376" i="3" s="1"/>
  <c r="BL376" i="3"/>
  <c r="G377" i="3"/>
  <c r="BA378" i="3"/>
  <c r="AZ378" i="3"/>
  <c r="BL378" i="3"/>
  <c r="G379" i="3"/>
  <c r="BA380" i="3"/>
  <c r="G388" i="3"/>
  <c r="BL389" i="3"/>
  <c r="G390" i="3"/>
  <c r="BL391" i="3"/>
  <c r="BA393" i="3"/>
  <c r="AZ393" i="3" s="1"/>
  <c r="BA394" i="3"/>
  <c r="BL394" i="3"/>
  <c r="G113" i="3"/>
  <c r="BA115" i="3"/>
  <c r="AZ115" i="3"/>
  <c r="BL116" i="3"/>
  <c r="AZ116" i="3"/>
  <c r="G117" i="3"/>
  <c r="BA119" i="3"/>
  <c r="AZ119" i="3"/>
  <c r="BL120" i="3"/>
  <c r="G121" i="3"/>
  <c r="BA123" i="3"/>
  <c r="BL124" i="3"/>
  <c r="AZ124" i="3" s="1"/>
  <c r="G125" i="3"/>
  <c r="BA127" i="3"/>
  <c r="AZ127" i="3"/>
  <c r="BL128" i="3"/>
  <c r="G129" i="3"/>
  <c r="BA131" i="3"/>
  <c r="AZ131" i="3"/>
  <c r="BL132" i="3"/>
  <c r="AZ132" i="3"/>
  <c r="G133" i="3"/>
  <c r="BA135" i="3"/>
  <c r="AZ135" i="3" s="1"/>
  <c r="BL136" i="3"/>
  <c r="G137" i="3"/>
  <c r="BA139" i="3"/>
  <c r="AZ139" i="3" s="1"/>
  <c r="BL140" i="3"/>
  <c r="G141" i="3"/>
  <c r="BA143" i="3"/>
  <c r="AZ143" i="3"/>
  <c r="BL144" i="3"/>
  <c r="AZ144" i="3" s="1"/>
  <c r="G145" i="3"/>
  <c r="BA147" i="3"/>
  <c r="AZ147" i="3"/>
  <c r="BL148" i="3"/>
  <c r="G149" i="3"/>
  <c r="BA151" i="3"/>
  <c r="AZ151" i="3"/>
  <c r="BL152" i="3"/>
  <c r="AZ152" i="3" s="1"/>
  <c r="G153" i="3"/>
  <c r="BA155" i="3"/>
  <c r="AZ155" i="3"/>
  <c r="BL156" i="3"/>
  <c r="AZ156" i="3" s="1"/>
  <c r="G157" i="3"/>
  <c r="BA159" i="3"/>
  <c r="AZ159" i="3"/>
  <c r="BL160" i="3"/>
  <c r="G161" i="3"/>
  <c r="BA163" i="3"/>
  <c r="AZ163" i="3"/>
  <c r="BL164" i="3"/>
  <c r="AZ164" i="3"/>
  <c r="G165" i="3"/>
  <c r="BA167" i="3"/>
  <c r="AZ167" i="3" s="1"/>
  <c r="BL168" i="3"/>
  <c r="G169" i="3"/>
  <c r="BA171" i="3"/>
  <c r="AZ171" i="3" s="1"/>
  <c r="BL172" i="3"/>
  <c r="AZ172" i="3"/>
  <c r="G173" i="3"/>
  <c r="BA175" i="3"/>
  <c r="AZ175" i="3"/>
  <c r="BL176" i="3"/>
  <c r="AZ176" i="3" s="1"/>
  <c r="G177" i="3"/>
  <c r="BA179" i="3"/>
  <c r="AZ179" i="3"/>
  <c r="BL180" i="3"/>
  <c r="G181" i="3"/>
  <c r="BA183" i="3"/>
  <c r="AZ183" i="3"/>
  <c r="BL184" i="3"/>
  <c r="AZ184" i="3" s="1"/>
  <c r="G185" i="3"/>
  <c r="BA187" i="3"/>
  <c r="AZ187" i="3"/>
  <c r="BL188" i="3"/>
  <c r="AZ188" i="3" s="1"/>
  <c r="G189" i="3"/>
  <c r="BA191" i="3"/>
  <c r="AZ191" i="3"/>
  <c r="BL192" i="3"/>
  <c r="G193" i="3"/>
  <c r="BA195" i="3"/>
  <c r="AZ195" i="3"/>
  <c r="BL196" i="3"/>
  <c r="AZ196" i="3"/>
  <c r="G197" i="3"/>
  <c r="BA199" i="3"/>
  <c r="BL200" i="3"/>
  <c r="G201" i="3"/>
  <c r="BA203" i="3"/>
  <c r="AZ203" i="3" s="1"/>
  <c r="BL204" i="3"/>
  <c r="AZ204" i="3"/>
  <c r="AZ39" i="3"/>
  <c r="AZ43" i="3"/>
  <c r="AZ47" i="3"/>
  <c r="AZ51" i="3"/>
  <c r="AZ67" i="3"/>
  <c r="AZ71" i="3"/>
  <c r="AZ75" i="3"/>
  <c r="AZ79" i="3"/>
  <c r="AZ83" i="3"/>
  <c r="AZ136" i="3"/>
  <c r="AZ160" i="3"/>
  <c r="AZ168" i="3"/>
  <c r="AZ192" i="3"/>
  <c r="AZ200" i="3"/>
  <c r="AZ89" i="3"/>
  <c r="AZ93" i="3"/>
  <c r="AZ105" i="3"/>
  <c r="AZ128" i="3"/>
  <c r="G534" i="3"/>
  <c r="G530" i="3"/>
  <c r="G522" i="3"/>
  <c r="G516" i="3"/>
  <c r="G512" i="3"/>
  <c r="G506" i="3"/>
  <c r="G498" i="3"/>
  <c r="G494" i="3"/>
  <c r="G16" i="3"/>
  <c r="G15" i="3"/>
  <c r="BA304" i="3"/>
  <c r="AZ304" i="3" s="1"/>
  <c r="BA305" i="3"/>
  <c r="BL305" i="3"/>
  <c r="AZ305" i="3" s="1"/>
  <c r="G306" i="3"/>
  <c r="G309" i="3"/>
  <c r="BL310" i="3"/>
  <c r="BA312" i="3"/>
  <c r="AZ312" i="3" s="1"/>
  <c r="BA313" i="3"/>
  <c r="BL313" i="3"/>
  <c r="AZ313" i="3"/>
  <c r="G314" i="3"/>
  <c r="G317" i="3"/>
  <c r="BL318" i="3"/>
  <c r="BA320" i="3"/>
  <c r="AZ320" i="3" s="1"/>
  <c r="BA321" i="3"/>
  <c r="BL321" i="3"/>
  <c r="AZ321" i="3" s="1"/>
  <c r="G322" i="3"/>
  <c r="G325" i="3"/>
  <c r="BL326" i="3"/>
  <c r="BA328" i="3"/>
  <c r="AZ328" i="3" s="1"/>
  <c r="BA329" i="3"/>
  <c r="BL329" i="3"/>
  <c r="AZ329" i="3"/>
  <c r="G330" i="3"/>
  <c r="G333" i="3"/>
  <c r="BL334" i="3"/>
  <c r="AZ334" i="3" s="1"/>
  <c r="BA336" i="3"/>
  <c r="AZ336" i="3" s="1"/>
  <c r="BA337" i="3"/>
  <c r="BL337" i="3"/>
  <c r="AZ337" i="3" s="1"/>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c r="BA372" i="3"/>
  <c r="AZ372" i="3" s="1"/>
  <c r="BL372" i="3"/>
  <c r="G373" i="3"/>
  <c r="G376" i="3"/>
  <c r="BL377" i="3"/>
  <c r="BL379" i="3"/>
  <c r="BA381" i="3"/>
  <c r="AZ381" i="3"/>
  <c r="BA382" i="3"/>
  <c r="BL382" i="3"/>
  <c r="G383" i="3"/>
  <c r="G386" i="3"/>
  <c r="BL387" i="3"/>
  <c r="BA389" i="3"/>
  <c r="AZ389" i="3"/>
  <c r="BA390" i="3"/>
  <c r="AZ390" i="3" s="1"/>
  <c r="BL390" i="3"/>
  <c r="G391" i="3"/>
  <c r="G394" i="3"/>
  <c r="AZ142" i="3"/>
  <c r="AZ150" i="3"/>
  <c r="AZ158" i="3"/>
  <c r="AZ162" i="3"/>
  <c r="AZ170" i="3"/>
  <c r="AZ174" i="3"/>
  <c r="AZ182" i="3"/>
  <c r="AZ190" i="3"/>
  <c r="AZ194" i="3"/>
  <c r="AZ198" i="3"/>
  <c r="AZ202" i="3"/>
  <c r="BA16" i="3"/>
  <c r="AZ16" i="3"/>
  <c r="BL303" i="3"/>
  <c r="G304" i="3"/>
  <c r="BA306" i="3"/>
  <c r="AZ306" i="3"/>
  <c r="BL307" i="3"/>
  <c r="AZ307" i="3"/>
  <c r="G308" i="3"/>
  <c r="BA310" i="3"/>
  <c r="AZ310" i="3" s="1"/>
  <c r="BL311" i="3"/>
  <c r="AZ311" i="3"/>
  <c r="G312" i="3"/>
  <c r="BA314" i="3"/>
  <c r="AZ314" i="3"/>
  <c r="BL315" i="3"/>
  <c r="G316" i="3"/>
  <c r="BA318" i="3"/>
  <c r="AZ318" i="3"/>
  <c r="BL319" i="3"/>
  <c r="AZ319" i="3" s="1"/>
  <c r="G320" i="3"/>
  <c r="BA322" i="3"/>
  <c r="AZ322" i="3"/>
  <c r="BL323" i="3"/>
  <c r="AZ323" i="3" s="1"/>
  <c r="G324" i="3"/>
  <c r="BA326" i="3"/>
  <c r="AZ326" i="3"/>
  <c r="BL327" i="3"/>
  <c r="AZ327" i="3"/>
  <c r="G328" i="3"/>
  <c r="BA330" i="3"/>
  <c r="AZ330" i="3" s="1"/>
  <c r="BL331" i="3"/>
  <c r="AZ331" i="3"/>
  <c r="G332" i="3"/>
  <c r="BA334" i="3"/>
  <c r="BL335" i="3"/>
  <c r="G336" i="3"/>
  <c r="BA338" i="3"/>
  <c r="AZ338" i="3"/>
  <c r="BL339" i="3"/>
  <c r="AZ339" i="3"/>
  <c r="G340" i="3"/>
  <c r="BL343" i="3"/>
  <c r="G344" i="3"/>
  <c r="G348" i="3"/>
  <c r="G355" i="3"/>
  <c r="AZ214" i="3"/>
  <c r="AZ303" i="3"/>
  <c r="AZ335" i="3"/>
  <c r="G342" i="3"/>
  <c r="BL345" i="3"/>
  <c r="AZ345" i="3"/>
  <c r="G346" i="3"/>
  <c r="AZ348" i="3"/>
  <c r="BL349" i="3"/>
  <c r="BL352" i="3"/>
  <c r="AZ352" i="3" s="1"/>
  <c r="G353" i="3"/>
  <c r="BA357" i="3"/>
  <c r="AZ357" i="3"/>
  <c r="BL358" i="3"/>
  <c r="G359" i="3"/>
  <c r="BA361" i="3"/>
  <c r="AZ361" i="3"/>
  <c r="BL362" i="3"/>
  <c r="G363" i="3"/>
  <c r="BA365" i="3"/>
  <c r="BL366" i="3"/>
  <c r="AZ366" i="3"/>
  <c r="G367" i="3"/>
  <c r="BA369" i="3"/>
  <c r="AZ369" i="3" s="1"/>
  <c r="BL370" i="3"/>
  <c r="G371" i="3"/>
  <c r="BA373" i="3"/>
  <c r="AZ373" i="3" s="1"/>
  <c r="BL374" i="3"/>
  <c r="G375" i="3"/>
  <c r="BA377" i="3"/>
  <c r="AZ377" i="3"/>
  <c r="AZ233" i="3"/>
  <c r="AZ245" i="3"/>
  <c r="AZ257" i="3"/>
  <c r="AZ261" i="3"/>
  <c r="AZ265" i="3"/>
  <c r="AZ269" i="3"/>
  <c r="AZ370" i="3"/>
  <c r="BA379" i="3"/>
  <c r="AZ379" i="3" s="1"/>
  <c r="BL380" i="3"/>
  <c r="G381" i="3"/>
  <c r="BA383" i="3"/>
  <c r="AZ383" i="3" s="1"/>
  <c r="BL384" i="3"/>
  <c r="G385" i="3"/>
  <c r="BA387" i="3"/>
  <c r="AZ387" i="3" s="1"/>
  <c r="BL388" i="3"/>
  <c r="G389" i="3"/>
  <c r="BA391" i="3"/>
  <c r="AZ391" i="3" s="1"/>
  <c r="BL392" i="3"/>
  <c r="AZ392" i="3" s="1"/>
  <c r="G393" i="3"/>
  <c r="AZ275" i="3"/>
  <c r="AZ279" i="3"/>
  <c r="AZ283" i="3"/>
  <c r="AZ287" i="3"/>
  <c r="AZ291" i="3"/>
  <c r="AZ299" i="3"/>
  <c r="BO5" i="3"/>
  <c r="BF5" i="3"/>
  <c r="AZ317" i="3"/>
  <c r="AZ325" i="3"/>
  <c r="AZ333" i="3"/>
  <c r="AC5" i="3"/>
  <c r="AZ496" i="3"/>
  <c r="G548" i="3"/>
  <c r="G538" i="3"/>
  <c r="G520" i="3"/>
  <c r="G502" i="3"/>
  <c r="BS5" i="3"/>
  <c r="BN5" i="3"/>
  <c r="AZ343" i="3"/>
  <c r="G17" i="3"/>
  <c r="BA17" i="3"/>
  <c r="AZ350" i="3"/>
  <c r="AZ356" i="3"/>
  <c r="AZ360" i="3"/>
  <c r="AZ364" i="3"/>
  <c r="BA15" i="3"/>
  <c r="AZ15" i="3"/>
  <c r="BB5" i="3"/>
  <c r="BR5" i="3"/>
  <c r="AZ380" i="3"/>
  <c r="AZ384" i="3"/>
  <c r="AZ396" i="3"/>
  <c r="AZ394" i="3"/>
  <c r="AZ499" i="3"/>
  <c r="G509" i="3"/>
  <c r="AZ491" i="3"/>
  <c r="AZ382" i="3"/>
  <c r="U36" i="40"/>
  <c r="F83" i="43"/>
  <c r="H85" i="43" s="1"/>
  <c r="F50" i="43"/>
  <c r="H54" i="43" s="1"/>
  <c r="F72" i="43"/>
  <c r="H75" i="43" s="1"/>
  <c r="U17" i="39"/>
  <c r="U43" i="21"/>
  <c r="U35" i="21"/>
  <c r="AC35" i="21"/>
  <c r="G10" i="1"/>
  <c r="AC11" i="39"/>
  <c r="W37" i="37"/>
  <c r="W44" i="34"/>
  <c r="AC44" i="34"/>
  <c r="S15" i="37"/>
  <c r="U13" i="37"/>
  <c r="U12" i="40"/>
  <c r="AA12" i="40"/>
  <c r="J37" i="33"/>
  <c r="W37" i="33"/>
  <c r="AC17" i="34"/>
  <c r="F106" i="33"/>
  <c r="G106" i="33"/>
  <c r="H106" i="33"/>
  <c r="I106" i="33"/>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c r="F20" i="35"/>
  <c r="AB23" i="35"/>
  <c r="AB29" i="36"/>
  <c r="U29" i="36"/>
  <c r="H32" i="37"/>
  <c r="AB32" i="37"/>
  <c r="H27" i="40"/>
  <c r="J27" i="40"/>
  <c r="AC27" i="40"/>
  <c r="F27" i="40"/>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23" i="3"/>
  <c r="AZ235" i="3"/>
  <c r="AZ248" i="3"/>
  <c r="AZ251" i="3"/>
  <c r="AZ256" i="3"/>
  <c r="AZ259" i="3"/>
  <c r="AZ271" i="3"/>
  <c r="AZ288" i="3"/>
  <c r="AZ296" i="3"/>
  <c r="AZ114" i="3"/>
  <c r="AZ117" i="3"/>
  <c r="AZ130" i="3"/>
  <c r="AZ21" i="3"/>
  <c r="AZ29" i="3"/>
  <c r="AZ31" i="3"/>
  <c r="AZ33" i="3"/>
  <c r="AZ61" i="3"/>
  <c r="AZ66" i="3"/>
  <c r="AZ69" i="3"/>
  <c r="AZ74" i="3"/>
  <c r="AZ94" i="3"/>
  <c r="AZ102" i="3"/>
  <c r="AZ110" i="3"/>
  <c r="F23" i="39"/>
  <c r="H27" i="36"/>
  <c r="U27" i="36" s="1"/>
  <c r="F27" i="36"/>
  <c r="AA27" i="36" s="1"/>
  <c r="H33" i="34"/>
  <c r="U33" i="34" s="1"/>
  <c r="F32" i="37"/>
  <c r="AA32" i="37"/>
  <c r="G96" i="37"/>
  <c r="H96" i="37" s="1"/>
  <c r="I96" i="37" s="1"/>
  <c r="J96" i="37" s="1"/>
  <c r="K96" i="37"/>
  <c r="L96" i="37" s="1"/>
  <c r="M96" i="37" s="1"/>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65" i="3"/>
  <c r="W12" i="33"/>
  <c r="AC12" i="33"/>
  <c r="AA32" i="36"/>
  <c r="S32" i="36"/>
  <c r="AZ551" i="3"/>
  <c r="AZ550" i="3"/>
  <c r="AZ408" i="3"/>
  <c r="AZ437" i="3"/>
  <c r="AZ441" i="3"/>
  <c r="AZ457" i="3"/>
  <c r="AZ473" i="3"/>
  <c r="AA39" i="34"/>
  <c r="BL14" i="3"/>
  <c r="AZ266" i="3"/>
  <c r="U30" i="33"/>
  <c r="AA47" i="34"/>
  <c r="S19" i="39"/>
  <c r="F12" i="33"/>
  <c r="H12" i="39"/>
  <c r="AB12" i="39"/>
  <c r="F39" i="40"/>
  <c r="AA39" i="40" s="1"/>
  <c r="BA14" i="3"/>
  <c r="AZ14" i="3"/>
  <c r="AZ367" i="3"/>
  <c r="AZ250" i="3"/>
  <c r="AZ254" i="3"/>
  <c r="AZ157" i="3"/>
  <c r="AZ165" i="3"/>
  <c r="AZ181" i="3"/>
  <c r="AZ189" i="3"/>
  <c r="AZ197" i="3"/>
  <c r="AZ19" i="3"/>
  <c r="AZ26" i="3"/>
  <c r="AZ35" i="3"/>
  <c r="AZ41" i="3"/>
  <c r="B12" i="1"/>
  <c r="E12" i="1" s="1"/>
  <c r="B10" i="1"/>
  <c r="E10" i="1"/>
  <c r="AZ84" i="3"/>
  <c r="AZ88" i="3"/>
  <c r="AZ111" i="3"/>
  <c r="K12" i="1"/>
  <c r="M12" i="1" s="1"/>
  <c r="S13" i="1"/>
  <c r="AR13" i="1" s="1"/>
  <c r="R13" i="1"/>
  <c r="J51" i="67"/>
  <c r="AC34" i="33"/>
  <c r="AA34" i="33"/>
  <c r="B41" i="1"/>
  <c r="F32" i="15" s="1"/>
  <c r="F60" i="15" s="1"/>
  <c r="U35" i="40"/>
  <c r="AC36" i="40"/>
  <c r="W38" i="40"/>
  <c r="AA32" i="40"/>
  <c r="S17" i="40"/>
  <c r="S23" i="40"/>
  <c r="AC17" i="40"/>
  <c r="AC15" i="40"/>
  <c r="S30" i="40"/>
  <c r="S28" i="40"/>
  <c r="U21" i="40"/>
  <c r="U37" i="39"/>
  <c r="S37" i="39"/>
  <c r="U35" i="39"/>
  <c r="F32" i="39"/>
  <c r="U25" i="39"/>
  <c r="U31" i="39"/>
  <c r="J21" i="39"/>
  <c r="W21" i="39" s="1"/>
  <c r="F21" i="39"/>
  <c r="AA21" i="39" s="1"/>
  <c r="G94" i="39"/>
  <c r="H21" i="39"/>
  <c r="W19" i="39"/>
  <c r="U19" i="39"/>
  <c r="S15" i="39"/>
  <c r="AA12" i="39"/>
  <c r="S9" i="39"/>
  <c r="U14" i="39"/>
  <c r="AC13" i="39"/>
  <c r="U12" i="39"/>
  <c r="U26" i="36"/>
  <c r="AA26" i="36"/>
  <c r="AA34" i="36"/>
  <c r="AA22" i="36"/>
  <c r="W14" i="36"/>
  <c r="AB14" i="36"/>
  <c r="U22" i="36"/>
  <c r="S16" i="36"/>
  <c r="AA25" i="36"/>
  <c r="U24" i="36"/>
  <c r="AB20" i="36"/>
  <c r="U16" i="36"/>
  <c r="AA25" i="35"/>
  <c r="S23" i="35"/>
  <c r="W24" i="35"/>
  <c r="AB13" i="35"/>
  <c r="U29" i="35"/>
  <c r="U28" i="35"/>
  <c r="AB27" i="35"/>
  <c r="U32" i="35"/>
  <c r="AA33" i="35"/>
  <c r="AC30" i="35"/>
  <c r="S32" i="35"/>
  <c r="S28" i="35"/>
  <c r="AB16" i="35"/>
  <c r="U22" i="35"/>
  <c r="AC20" i="35"/>
  <c r="U14" i="35"/>
  <c r="AA11" i="35"/>
  <c r="AC9" i="35"/>
  <c r="W9" i="35"/>
  <c r="AC12"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F17" i="37"/>
  <c r="AA17" i="37"/>
  <c r="F75" i="37"/>
  <c r="F19" i="37"/>
  <c r="F79" i="37"/>
  <c r="G79" i="37" s="1"/>
  <c r="F23" i="37"/>
  <c r="S23" i="37"/>
  <c r="U23" i="37"/>
  <c r="U15" i="37"/>
  <c r="AC13" i="37"/>
  <c r="AA13" i="37"/>
  <c r="H10" i="37"/>
  <c r="AB10" i="37" s="1"/>
  <c r="F63" i="37"/>
  <c r="G63" i="37" s="1"/>
  <c r="H63" i="37" s="1"/>
  <c r="I63" i="37" s="1"/>
  <c r="J63" i="37" s="1"/>
  <c r="K63" i="37" s="1"/>
  <c r="L63" i="37" s="1"/>
  <c r="M63" i="37" s="1"/>
  <c r="F11" i="37"/>
  <c r="S11" i="37" s="1"/>
  <c r="W25" i="34"/>
  <c r="AB8" i="34"/>
  <c r="AA33" i="34"/>
  <c r="U44" i="34"/>
  <c r="U43" i="34"/>
  <c r="AC39" i="34"/>
  <c r="W41" i="34"/>
  <c r="AC42" i="34"/>
  <c r="U39" i="34"/>
  <c r="S43" i="34"/>
  <c r="AA45" i="34"/>
  <c r="AA25" i="34"/>
  <c r="U28" i="34"/>
  <c r="U27" i="34"/>
  <c r="S13" i="34"/>
  <c r="H10" i="34"/>
  <c r="AB10" i="34" s="1"/>
  <c r="F11" i="34"/>
  <c r="S11" i="34" s="1"/>
  <c r="F70" i="34"/>
  <c r="W42" i="33"/>
  <c r="AA35" i="33"/>
  <c r="S32" i="33"/>
  <c r="AA29" i="33"/>
  <c r="AB29" i="33"/>
  <c r="W38" i="33"/>
  <c r="H41" i="33"/>
  <c r="F121" i="33"/>
  <c r="G121" i="33"/>
  <c r="H121" i="33" s="1"/>
  <c r="I121" i="33" s="1"/>
  <c r="J121" i="33" s="1"/>
  <c r="K121" i="33" s="1"/>
  <c r="L121" i="33" s="1"/>
  <c r="M121" i="33" s="1"/>
  <c r="U42" i="33"/>
  <c r="S42" i="33"/>
  <c r="F36" i="33"/>
  <c r="AA36" i="33" s="1"/>
  <c r="G108" i="33"/>
  <c r="H108" i="33"/>
  <c r="I108" i="33" s="1"/>
  <c r="J108" i="33" s="1"/>
  <c r="K108" i="33" s="1"/>
  <c r="L108" i="33"/>
  <c r="M108" i="33" s="1"/>
  <c r="J35" i="33"/>
  <c r="S37" i="33"/>
  <c r="AA37" i="33"/>
  <c r="S39" i="33"/>
  <c r="F101" i="33"/>
  <c r="G101" i="33"/>
  <c r="H101" i="33"/>
  <c r="I101" i="33" s="1"/>
  <c r="J101" i="33" s="1"/>
  <c r="K101" i="33" s="1"/>
  <c r="L101" i="33"/>
  <c r="M101" i="33" s="1"/>
  <c r="J32" i="33"/>
  <c r="S46" i="33"/>
  <c r="W43" i="33"/>
  <c r="S43" i="33"/>
  <c r="F91" i="33"/>
  <c r="H27" i="33"/>
  <c r="F87" i="33"/>
  <c r="H25" i="33"/>
  <c r="F25" i="33"/>
  <c r="J23" i="33"/>
  <c r="W23" i="33" s="1"/>
  <c r="F85" i="33"/>
  <c r="H23" i="33"/>
  <c r="F19" i="33"/>
  <c r="S19" i="33"/>
  <c r="W19" i="33"/>
  <c r="J17" i="33"/>
  <c r="F79" i="33"/>
  <c r="G79" i="33" s="1"/>
  <c r="S15" i="33"/>
  <c r="W15" i="33"/>
  <c r="U9" i="33"/>
  <c r="J10" i="33"/>
  <c r="W10" i="33" s="1"/>
  <c r="H10" i="33"/>
  <c r="U10" i="33" s="1"/>
  <c r="AC11" i="33"/>
  <c r="AB14" i="33"/>
  <c r="W43" i="21"/>
  <c r="W36" i="21"/>
  <c r="W41" i="21"/>
  <c r="AB39" i="21"/>
  <c r="AA43" i="21"/>
  <c r="S39" i="21"/>
  <c r="AA38" i="21"/>
  <c r="AA36" i="21"/>
  <c r="AC40" i="21"/>
  <c r="J15" i="21"/>
  <c r="F77" i="21"/>
  <c r="G77" i="21"/>
  <c r="F23" i="21"/>
  <c r="S23" i="21" s="1"/>
  <c r="E85" i="21"/>
  <c r="AA14" i="21"/>
  <c r="D120" i="9"/>
  <c r="D121" i="9" s="1"/>
  <c r="D7" i="52" s="1"/>
  <c r="C18" i="9"/>
  <c r="D18" i="9" s="1"/>
  <c r="BL17" i="3"/>
  <c r="AZ17" i="3" s="1"/>
  <c r="J56" i="9"/>
  <c r="J57" i="9" s="1"/>
  <c r="J59" i="9" s="1"/>
  <c r="J61" i="9" s="1"/>
  <c r="U29" i="34"/>
  <c r="E5" i="6"/>
  <c r="E32" i="6"/>
  <c r="G1" i="68"/>
  <c r="K1" i="12"/>
  <c r="E19" i="69"/>
  <c r="G22" i="69"/>
  <c r="C6" i="43"/>
  <c r="C7" i="21"/>
  <c r="L20" i="6"/>
  <c r="B6" i="1"/>
  <c r="E6" i="1" s="1"/>
  <c r="K11" i="1"/>
  <c r="M11" i="1" s="1"/>
  <c r="O11" i="1" s="1"/>
  <c r="B9" i="1"/>
  <c r="E9" i="1" s="1"/>
  <c r="K7" i="1"/>
  <c r="M7" i="1" s="1"/>
  <c r="O7" i="1" s="1"/>
  <c r="P7" i="1" s="1"/>
  <c r="G1" i="15"/>
  <c r="G1" i="69"/>
  <c r="G1" i="67"/>
  <c r="W23" i="40"/>
  <c r="U32" i="40"/>
  <c r="AB31" i="40"/>
  <c r="S37" i="40"/>
  <c r="AB28" i="40"/>
  <c r="W28" i="40"/>
  <c r="W34" i="40"/>
  <c r="W27" i="40"/>
  <c r="S36" i="40"/>
  <c r="W37" i="40"/>
  <c r="AC14" i="40"/>
  <c r="S13" i="40"/>
  <c r="S33" i="40"/>
  <c r="AA15" i="40"/>
  <c r="U11" i="40"/>
  <c r="S31" i="40"/>
  <c r="AB13" i="40"/>
  <c r="U15" i="40"/>
  <c r="U8" i="40"/>
  <c r="S8" i="40"/>
  <c r="AA39" i="39"/>
  <c r="U42" i="39"/>
  <c r="U41" i="39"/>
  <c r="W25" i="39"/>
  <c r="AC25" i="39"/>
  <c r="U13" i="39"/>
  <c r="AB13" i="39"/>
  <c r="AA13" i="39"/>
  <c r="S13" i="39"/>
  <c r="S14" i="39"/>
  <c r="AA14" i="39"/>
  <c r="U43" i="39"/>
  <c r="AB11" i="39"/>
  <c r="U11" i="39"/>
  <c r="AA27" i="39"/>
  <c r="S27" i="39"/>
  <c r="W17" i="39"/>
  <c r="AC17" i="39"/>
  <c r="W31" i="39"/>
  <c r="AC31" i="39"/>
  <c r="AA45" i="39"/>
  <c r="AB39" i="39"/>
  <c r="U38" i="39"/>
  <c r="S8" i="39"/>
  <c r="S20" i="36"/>
  <c r="U32" i="36"/>
  <c r="W29" i="36"/>
  <c r="AC20" i="36"/>
  <c r="AB28" i="36"/>
  <c r="AA13" i="36"/>
  <c r="W22" i="36"/>
  <c r="W23" i="36"/>
  <c r="S9" i="36"/>
  <c r="AB20" i="35"/>
  <c r="S24" i="35"/>
  <c r="U24" i="35"/>
  <c r="W35" i="35"/>
  <c r="AA16" i="35"/>
  <c r="AA35" i="37"/>
  <c r="W36" i="37"/>
  <c r="S27" i="37"/>
  <c r="S28" i="37"/>
  <c r="W32" i="37"/>
  <c r="U36" i="37"/>
  <c r="S40" i="37"/>
  <c r="U38" i="37"/>
  <c r="AB37" i="37"/>
  <c r="AC34" i="37"/>
  <c r="AB35" i="37"/>
  <c r="AA31" i="37"/>
  <c r="U19" i="37"/>
  <c r="U8" i="37"/>
  <c r="AA40" i="34"/>
  <c r="AB40" i="34"/>
  <c r="U19" i="34"/>
  <c r="W19" i="34"/>
  <c r="AB33" i="34"/>
  <c r="AC45" i="34"/>
  <c r="AB45" i="34"/>
  <c r="U25" i="34"/>
  <c r="AB36" i="34"/>
  <c r="W33" i="34"/>
  <c r="AC14" i="34"/>
  <c r="AC32" i="34"/>
  <c r="AC29" i="34"/>
  <c r="W29" i="34"/>
  <c r="W46" i="34"/>
  <c r="AC46" i="34"/>
  <c r="S32" i="34"/>
  <c r="AA32" i="34"/>
  <c r="U30" i="34"/>
  <c r="AB30" i="34"/>
  <c r="U38" i="34"/>
  <c r="AC40" i="34"/>
  <c r="W40" i="34"/>
  <c r="AA19" i="34"/>
  <c r="S19" i="34"/>
  <c r="AA36" i="34"/>
  <c r="S36" i="34"/>
  <c r="AA8" i="34"/>
  <c r="S8" i="34"/>
  <c r="S46" i="34"/>
  <c r="AA46" i="34"/>
  <c r="U32" i="34"/>
  <c r="U14" i="34"/>
  <c r="AB14" i="34"/>
  <c r="AC43" i="34"/>
  <c r="W43" i="34"/>
  <c r="W23" i="34"/>
  <c r="AC23" i="34"/>
  <c r="AC35" i="34"/>
  <c r="U12" i="34"/>
  <c r="AB12" i="34"/>
  <c r="AB28" i="33"/>
  <c r="AC37" i="33"/>
  <c r="U39" i="33"/>
  <c r="U38" i="33"/>
  <c r="S33" i="33"/>
  <c r="AB34" i="33"/>
  <c r="U44" i="33"/>
  <c r="AB44" i="33"/>
  <c r="S30" i="33"/>
  <c r="AA30" i="33"/>
  <c r="AC14" i="33"/>
  <c r="W14" i="33"/>
  <c r="AC30" i="33"/>
  <c r="W30" i="33"/>
  <c r="S31" i="33"/>
  <c r="AA31" i="33"/>
  <c r="W13" i="33"/>
  <c r="AC13" i="33"/>
  <c r="U15" i="33"/>
  <c r="S11" i="33"/>
  <c r="AC28" i="33"/>
  <c r="S28" i="33"/>
  <c r="W9" i="33"/>
  <c r="W8" i="33"/>
  <c r="S44" i="21"/>
  <c r="AB42" i="21"/>
  <c r="U28" i="21"/>
  <c r="S45" i="21"/>
  <c r="F33" i="21"/>
  <c r="AA33" i="21" s="1"/>
  <c r="J33" i="21"/>
  <c r="AC33" i="21" s="1"/>
  <c r="H33" i="21"/>
  <c r="AB33" i="21" s="1"/>
  <c r="F37" i="21"/>
  <c r="AA37" i="21"/>
  <c r="AA26" i="21"/>
  <c r="U40" i="21"/>
  <c r="U13" i="21"/>
  <c r="AB13" i="21"/>
  <c r="S35" i="21"/>
  <c r="J37" i="21"/>
  <c r="W37" i="21" s="1"/>
  <c r="H15" i="21"/>
  <c r="U15" i="21" s="1"/>
  <c r="J17" i="21"/>
  <c r="AC17" i="21"/>
  <c r="AC19" i="21"/>
  <c r="W39" i="21"/>
  <c r="S46" i="21"/>
  <c r="H45" i="21"/>
  <c r="U45" i="21" s="1"/>
  <c r="F29" i="21"/>
  <c r="S29" i="21"/>
  <c r="F13" i="21"/>
  <c r="AC38" i="21"/>
  <c r="H32" i="21"/>
  <c r="AB32" i="21" s="1"/>
  <c r="H9" i="21"/>
  <c r="J9" i="21"/>
  <c r="J32" i="21"/>
  <c r="W32" i="21" s="1"/>
  <c r="F32" i="21"/>
  <c r="AA32" i="21" s="1"/>
  <c r="W29" i="21"/>
  <c r="S19" i="21"/>
  <c r="S9" i="21"/>
  <c r="AA9" i="21"/>
  <c r="K141" i="21"/>
  <c r="K144" i="21"/>
  <c r="K143" i="21"/>
  <c r="AB25" i="21"/>
  <c r="AB44" i="21"/>
  <c r="AA30" i="21"/>
  <c r="W13" i="21"/>
  <c r="W42" i="21"/>
  <c r="AC45" i="21"/>
  <c r="F10" i="21"/>
  <c r="AA10" i="21" s="1"/>
  <c r="K145" i="21"/>
  <c r="W17" i="21"/>
  <c r="W25" i="21"/>
  <c r="AA29" i="21"/>
  <c r="S27" i="21"/>
  <c r="S17" i="21"/>
  <c r="AA15" i="21"/>
  <c r="AC27" i="21"/>
  <c r="AC26" i="21"/>
  <c r="AB29" i="21"/>
  <c r="AC34" i="21"/>
  <c r="W12" i="21"/>
  <c r="AB36" i="21"/>
  <c r="W30" i="40"/>
  <c r="C19" i="39"/>
  <c r="C17" i="40"/>
  <c r="C23" i="40"/>
  <c r="C21" i="40"/>
  <c r="U30" i="40"/>
  <c r="B56" i="43"/>
  <c r="B67" i="43"/>
  <c r="B51" i="43"/>
  <c r="B54" i="43"/>
  <c r="B62" i="43"/>
  <c r="B65" i="43"/>
  <c r="E4" i="4"/>
  <c r="B5" i="62" s="1"/>
  <c r="B73" i="72" s="1"/>
  <c r="C4" i="4"/>
  <c r="S12" i="33"/>
  <c r="AA12" i="33"/>
  <c r="J32" i="39"/>
  <c r="H32" i="39"/>
  <c r="AB32" i="39" s="1"/>
  <c r="AA32" i="39"/>
  <c r="S32" i="39"/>
  <c r="AB21" i="39"/>
  <c r="U21" i="39"/>
  <c r="S21" i="39"/>
  <c r="AC17" i="37"/>
  <c r="S17" i="37"/>
  <c r="J19" i="37"/>
  <c r="G75" i="37"/>
  <c r="S19" i="37"/>
  <c r="AA19" i="37"/>
  <c r="AA23" i="37"/>
  <c r="J23" i="37"/>
  <c r="W23" i="37" s="1"/>
  <c r="J10" i="37"/>
  <c r="W10" i="37" s="1"/>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c r="K91" i="33"/>
  <c r="L91" i="33" s="1"/>
  <c r="M91" i="33" s="1"/>
  <c r="J27" i="33"/>
  <c r="U25" i="33"/>
  <c r="AB25" i="33"/>
  <c r="S25" i="33"/>
  <c r="AA25" i="33"/>
  <c r="G87" i="33"/>
  <c r="H87" i="33" s="1"/>
  <c r="I87" i="33" s="1"/>
  <c r="J87" i="33"/>
  <c r="K87" i="33"/>
  <c r="L87" i="33" s="1"/>
  <c r="M87" i="33" s="1"/>
  <c r="J25" i="33"/>
  <c r="W25" i="33" s="1"/>
  <c r="AB23" i="33"/>
  <c r="U23" i="33"/>
  <c r="F23" i="33"/>
  <c r="G85" i="33"/>
  <c r="AC23" i="33"/>
  <c r="AA19" i="33"/>
  <c r="H19" i="33"/>
  <c r="AB19" i="33" s="1"/>
  <c r="G81" i="33"/>
  <c r="H17" i="33"/>
  <c r="F17" i="33"/>
  <c r="W17" i="33"/>
  <c r="AC17" i="33"/>
  <c r="S37" i="21"/>
  <c r="AB15" i="21"/>
  <c r="J23" i="21"/>
  <c r="F85" i="21"/>
  <c r="G85" i="21"/>
  <c r="H23" i="21"/>
  <c r="AB23" i="21" s="1"/>
  <c r="D6" i="52"/>
  <c r="AP7" i="1"/>
  <c r="AB45" i="21"/>
  <c r="AB9" i="21"/>
  <c r="U9" i="21"/>
  <c r="S32" i="21"/>
  <c r="W9" i="21"/>
  <c r="AC9" i="21"/>
  <c r="U32" i="21"/>
  <c r="U32" i="39"/>
  <c r="AC32" i="39"/>
  <c r="W32" i="39"/>
  <c r="W19" i="37"/>
  <c r="AC19" i="37"/>
  <c r="AC23" i="37"/>
  <c r="J11" i="37"/>
  <c r="AC11" i="37" s="1"/>
  <c r="H70" i="34"/>
  <c r="I70" i="34" s="1"/>
  <c r="J70" i="34" s="1"/>
  <c r="K70" i="34" s="1"/>
  <c r="L70" i="34" s="1"/>
  <c r="M70" i="34" s="1"/>
  <c r="J11" i="34"/>
  <c r="W11" i="34" s="1"/>
  <c r="AB36" i="33"/>
  <c r="W27" i="33"/>
  <c r="AC27" i="33"/>
  <c r="AA23" i="33"/>
  <c r="S23" i="33"/>
  <c r="AA17" i="33"/>
  <c r="S17" i="33"/>
  <c r="U17" i="33"/>
  <c r="AB17" i="33"/>
  <c r="AC23" i="21"/>
  <c r="W23" i="21"/>
  <c r="H109" i="9"/>
  <c r="H112" i="9"/>
  <c r="D21" i="53" s="1"/>
  <c r="B39" i="72" s="1"/>
  <c r="H111" i="9"/>
  <c r="D126" i="9" s="1"/>
  <c r="AD3" i="71"/>
  <c r="C22" i="71"/>
  <c r="D22" i="7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20" i="71"/>
  <c r="C19" i="71" s="1"/>
  <c r="C18" i="71" s="1"/>
  <c r="C17" i="71" s="1"/>
  <c r="T20" i="71"/>
  <c r="D19" i="71"/>
  <c r="J15" i="67"/>
  <c r="B10" i="76"/>
  <c r="E12" i="76"/>
  <c r="M6" i="67"/>
  <c r="F7" i="73"/>
  <c r="L47" i="15"/>
  <c r="F9" i="67"/>
  <c r="E2" i="68"/>
  <c r="E8" i="76"/>
  <c r="F38" i="67"/>
  <c r="M9" i="67"/>
  <c r="L47" i="67"/>
  <c r="E13" i="76"/>
  <c r="E11" i="76"/>
  <c r="F6" i="73"/>
  <c r="F16" i="67"/>
  <c r="E2" i="69"/>
  <c r="F40" i="67"/>
  <c r="F13" i="15"/>
  <c r="F42" i="15"/>
  <c r="J15" i="15"/>
  <c r="E7" i="76"/>
  <c r="M8" i="67"/>
  <c r="F20" i="31"/>
  <c r="F36" i="67"/>
  <c r="F37" i="67"/>
  <c r="F42" i="67"/>
  <c r="M23" i="67"/>
  <c r="F4" i="73"/>
  <c r="F6" i="67"/>
  <c r="F26" i="15"/>
  <c r="F43" i="67"/>
  <c r="B11" i="76"/>
  <c r="F26" i="67"/>
  <c r="M26" i="67"/>
  <c r="F8" i="67"/>
  <c r="M29" i="67"/>
  <c r="B9" i="76"/>
  <c r="F3" i="73"/>
  <c r="E9" i="76"/>
  <c r="F5" i="73"/>
  <c r="B13" i="76"/>
  <c r="B12" i="76"/>
  <c r="M24" i="67"/>
  <c r="M28" i="67"/>
  <c r="B8" i="76"/>
  <c r="C76" i="67"/>
  <c r="F13" i="67"/>
  <c r="F36" i="15"/>
  <c r="F7" i="67"/>
  <c r="AO13" i="1"/>
  <c r="M22" i="67"/>
  <c r="B7" i="76"/>
  <c r="M24" i="15"/>
  <c r="L48" i="67"/>
  <c r="E10" i="76"/>
  <c r="G22" i="11" l="1"/>
  <c r="E1" i="73"/>
  <c r="G26" i="12"/>
  <c r="G22" i="68"/>
  <c r="A24" i="51"/>
  <c r="B18" i="72" s="1"/>
  <c r="H83" i="43"/>
  <c r="H50" i="43"/>
  <c r="H69" i="43"/>
  <c r="H67" i="43"/>
  <c r="M20" i="67"/>
  <c r="F34" i="67"/>
  <c r="F62" i="67" s="1"/>
  <c r="F34" i="15"/>
  <c r="F62" i="15" s="1"/>
  <c r="F30" i="68"/>
  <c r="F48" i="68" s="1"/>
  <c r="C40" i="11"/>
  <c r="C40" i="68"/>
  <c r="C40" i="69"/>
  <c r="E19" i="11"/>
  <c r="D22" i="15"/>
  <c r="D23" i="15"/>
  <c r="BM5" i="3"/>
  <c r="BD5" i="3"/>
  <c r="E11" i="6" s="1"/>
  <c r="E60" i="39" s="1"/>
  <c r="B19" i="53"/>
  <c r="B37" i="72" s="1"/>
  <c r="C7" i="36"/>
  <c r="C46" i="36" s="1"/>
  <c r="D46" i="36" s="1"/>
  <c r="E46" i="36" s="1"/>
  <c r="F46" i="36" s="1"/>
  <c r="G46" i="36" s="1"/>
  <c r="H46" i="36" s="1"/>
  <c r="I46" i="36" s="1"/>
  <c r="M47" i="9"/>
  <c r="C7" i="35"/>
  <c r="C48" i="35" s="1"/>
  <c r="D48" i="35" s="1"/>
  <c r="C7" i="34"/>
  <c r="G23" i="43"/>
  <c r="O23" i="43" s="1"/>
  <c r="C7" i="33"/>
  <c r="J1" i="73"/>
  <c r="C7" i="40"/>
  <c r="C63" i="40" s="1"/>
  <c r="C7" i="39"/>
  <c r="C67" i="39" s="1"/>
  <c r="C42" i="1"/>
  <c r="C24" i="12" s="1"/>
  <c r="U23" i="21"/>
  <c r="F48" i="9"/>
  <c r="O52" i="9" s="1"/>
  <c r="F28" i="67"/>
  <c r="F32" i="67"/>
  <c r="F60" i="67" s="1"/>
  <c r="F28" i="15"/>
  <c r="C28" i="15" s="1"/>
  <c r="F31" i="12"/>
  <c r="F30" i="69"/>
  <c r="F48" i="69" s="1"/>
  <c r="D68" i="9"/>
  <c r="U35" i="34"/>
  <c r="AB35" i="34"/>
  <c r="AA44" i="34"/>
  <c r="S44" i="34"/>
  <c r="U19" i="33"/>
  <c r="AC25" i="33"/>
  <c r="AA23" i="21"/>
  <c r="BC5" i="3"/>
  <c r="E14" i="6" s="1"/>
  <c r="E63" i="39" s="1"/>
  <c r="AZ342" i="3"/>
  <c r="AZ199" i="3"/>
  <c r="U19" i="40"/>
  <c r="AB19" i="40"/>
  <c r="S36" i="35"/>
  <c r="AA36" i="35"/>
  <c r="AZ494" i="3"/>
  <c r="AB14" i="40"/>
  <c r="U14" i="40"/>
  <c r="AA35" i="35"/>
  <c r="S35" i="35"/>
  <c r="AC47" i="34"/>
  <c r="W47" i="34"/>
  <c r="AC31" i="34"/>
  <c r="W31" i="34"/>
  <c r="AC46" i="33"/>
  <c r="W46" i="33"/>
  <c r="U46" i="34"/>
  <c r="AB46" i="34"/>
  <c r="U45" i="33"/>
  <c r="AB45" i="33"/>
  <c r="AA27" i="33"/>
  <c r="S27" i="33"/>
  <c r="AB37" i="33"/>
  <c r="U37" i="33"/>
  <c r="AA23" i="34"/>
  <c r="S23" i="34"/>
  <c r="AB15" i="34"/>
  <c r="U15" i="34"/>
  <c r="AA27" i="34"/>
  <c r="S27" i="34"/>
  <c r="AA22" i="35"/>
  <c r="S22" i="35"/>
  <c r="U37" i="40"/>
  <c r="AB37" i="40"/>
  <c r="AC34" i="39"/>
  <c r="W34" i="39"/>
  <c r="AA17" i="39"/>
  <c r="S17" i="39"/>
  <c r="H31" i="21"/>
  <c r="J31" i="21"/>
  <c r="AC9" i="34"/>
  <c r="W9" i="34"/>
  <c r="AB34" i="34"/>
  <c r="U34" i="34"/>
  <c r="AB17" i="21"/>
  <c r="U17" i="21"/>
  <c r="AZ586" i="3"/>
  <c r="AC28" i="37"/>
  <c r="W28" i="37"/>
  <c r="AB25" i="35"/>
  <c r="U25" i="35"/>
  <c r="S29" i="34"/>
  <c r="AA29" i="34"/>
  <c r="AC44" i="33"/>
  <c r="W44" i="33"/>
  <c r="AB13" i="36"/>
  <c r="U13" i="36"/>
  <c r="S30" i="34"/>
  <c r="AA30" i="34"/>
  <c r="W31" i="33"/>
  <c r="AC31" i="33"/>
  <c r="AB27" i="21"/>
  <c r="U27" i="21"/>
  <c r="U46" i="21"/>
  <c r="AB46" i="21"/>
  <c r="AB32" i="33"/>
  <c r="U32" i="33"/>
  <c r="B101" i="43"/>
  <c r="B79" i="43"/>
  <c r="C25" i="39"/>
  <c r="B69" i="43"/>
  <c r="D18" i="71"/>
  <c r="M18" i="67"/>
  <c r="S28" i="21"/>
  <c r="AA13" i="21"/>
  <c r="S13" i="21"/>
  <c r="AB47" i="34"/>
  <c r="D20" i="71"/>
  <c r="U20" i="71" s="1"/>
  <c r="S39" i="40"/>
  <c r="F52" i="9"/>
  <c r="AA31" i="21"/>
  <c r="U27" i="40"/>
  <c r="AB27" i="40"/>
  <c r="U41" i="34"/>
  <c r="AB41" i="34"/>
  <c r="BQ5" i="3"/>
  <c r="F28" i="6" s="1"/>
  <c r="BL493" i="3"/>
  <c r="AZ493" i="3" s="1"/>
  <c r="AZ557" i="3"/>
  <c r="AZ525" i="3"/>
  <c r="AZ541" i="3"/>
  <c r="AZ579" i="3"/>
  <c r="W41" i="39"/>
  <c r="AC41" i="39"/>
  <c r="AB30" i="21"/>
  <c r="AA14" i="40"/>
  <c r="S14" i="40"/>
  <c r="W25" i="36"/>
  <c r="AC25" i="36"/>
  <c r="AC13" i="35"/>
  <c r="W13" i="35"/>
  <c r="S31" i="34"/>
  <c r="AA31" i="34"/>
  <c r="AB46" i="33"/>
  <c r="U46" i="33"/>
  <c r="AA45" i="33"/>
  <c r="S45" i="33"/>
  <c r="AC30" i="21"/>
  <c r="W30" i="21"/>
  <c r="W14" i="21"/>
  <c r="AC14" i="21"/>
  <c r="AA17" i="34"/>
  <c r="S17" i="34"/>
  <c r="W36" i="34"/>
  <c r="AC36" i="34"/>
  <c r="S29" i="35"/>
  <c r="AA29" i="35"/>
  <c r="AA14" i="35"/>
  <c r="S14" i="35"/>
  <c r="AA33" i="36"/>
  <c r="S33" i="36"/>
  <c r="W11" i="40"/>
  <c r="AC11" i="40"/>
  <c r="AA35" i="40"/>
  <c r="S35" i="40"/>
  <c r="AB36" i="39"/>
  <c r="U36" i="39"/>
  <c r="AB12" i="21"/>
  <c r="U12" i="21"/>
  <c r="U38" i="21"/>
  <c r="AB38" i="21"/>
  <c r="BL587" i="3"/>
  <c r="BA587" i="3"/>
  <c r="J43" i="39"/>
  <c r="F43" i="39"/>
  <c r="U17" i="37"/>
  <c r="AB17" i="37"/>
  <c r="AA37" i="34"/>
  <c r="S37" i="34"/>
  <c r="AA24" i="36"/>
  <c r="S24" i="36"/>
  <c r="AA42" i="21"/>
  <c r="S42" i="21"/>
  <c r="S12" i="35"/>
  <c r="AA12" i="35"/>
  <c r="H5" i="3"/>
  <c r="G550" i="3"/>
  <c r="BL549" i="3"/>
  <c r="AZ549" i="3" s="1"/>
  <c r="BP5" i="3"/>
  <c r="G29" i="6" s="1"/>
  <c r="G30" i="6" s="1"/>
  <c r="G31" i="6" s="1"/>
  <c r="C16" i="71"/>
  <c r="D17" i="71"/>
  <c r="D19" i="53"/>
  <c r="B38" i="72" s="1"/>
  <c r="D16" i="53"/>
  <c r="B34" i="72" s="1"/>
  <c r="F54" i="9"/>
  <c r="M18" i="15"/>
  <c r="F30" i="11"/>
  <c r="C48" i="11" s="1"/>
  <c r="B58" i="43"/>
  <c r="W15" i="21"/>
  <c r="AC15" i="21"/>
  <c r="AA23" i="39"/>
  <c r="S23" i="39"/>
  <c r="S27" i="40"/>
  <c r="AA27" i="40"/>
  <c r="AC19" i="40"/>
  <c r="W19" i="40"/>
  <c r="S19" i="40"/>
  <c r="AA19" i="40"/>
  <c r="U11" i="33"/>
  <c r="AZ568" i="3"/>
  <c r="AB25" i="36"/>
  <c r="U25" i="36"/>
  <c r="W25" i="35"/>
  <c r="AC25" i="35"/>
  <c r="W13" i="34"/>
  <c r="AC13" i="34"/>
  <c r="S14" i="33"/>
  <c r="AA14" i="33"/>
  <c r="S29" i="37"/>
  <c r="AA29" i="37"/>
  <c r="W26" i="36"/>
  <c r="AC26" i="36"/>
  <c r="U14" i="21"/>
  <c r="AB14" i="21"/>
  <c r="AB17" i="34"/>
  <c r="U23" i="34"/>
  <c r="AB23" i="34"/>
  <c r="U27" i="39"/>
  <c r="AB27" i="39"/>
  <c r="W41" i="33"/>
  <c r="AC41" i="33"/>
  <c r="AA20" i="35"/>
  <c r="S20" i="35"/>
  <c r="AA14" i="36"/>
  <c r="S14" i="36"/>
  <c r="S25" i="21"/>
  <c r="AA25" i="21"/>
  <c r="U17" i="40"/>
  <c r="AB17" i="40"/>
  <c r="B83" i="43"/>
  <c r="C15" i="40"/>
  <c r="U43" i="33"/>
  <c r="AA41" i="34"/>
  <c r="H36" i="35"/>
  <c r="J36" i="35"/>
  <c r="AC11" i="35"/>
  <c r="G587" i="3"/>
  <c r="F9" i="34"/>
  <c r="AA9" i="34" s="1"/>
  <c r="H9" i="34"/>
  <c r="J9" i="36"/>
  <c r="H9" i="36"/>
  <c r="W40" i="40"/>
  <c r="AC40" i="40"/>
  <c r="F29" i="6"/>
  <c r="AZ585" i="3"/>
  <c r="S11" i="36"/>
  <c r="B94" i="43"/>
  <c r="B73" i="43"/>
  <c r="AZ410" i="3"/>
  <c r="AZ423" i="3"/>
  <c r="AZ427" i="3"/>
  <c r="B99" i="43"/>
  <c r="B76" i="43"/>
  <c r="F12" i="34"/>
  <c r="H34" i="35"/>
  <c r="J34" i="35"/>
  <c r="F34" i="35"/>
  <c r="G551" i="3"/>
  <c r="BL548" i="3"/>
  <c r="AZ548" i="3" s="1"/>
  <c r="AZ416" i="3"/>
  <c r="AZ406" i="3"/>
  <c r="AZ407" i="3"/>
  <c r="AZ413" i="3"/>
  <c r="H23" i="36"/>
  <c r="AZ443" i="3"/>
  <c r="AZ453" i="3"/>
  <c r="AZ456" i="3"/>
  <c r="AZ458" i="3"/>
  <c r="AZ463" i="3"/>
  <c r="AZ466" i="3"/>
  <c r="AZ470" i="3"/>
  <c r="AZ474" i="3"/>
  <c r="AZ332" i="3"/>
  <c r="BL368" i="3"/>
  <c r="BA374" i="3"/>
  <c r="AZ374" i="3" s="1"/>
  <c r="AZ397" i="3"/>
  <c r="BA208" i="3"/>
  <c r="AZ208" i="3" s="1"/>
  <c r="AZ217" i="3"/>
  <c r="BA224" i="3"/>
  <c r="AZ224" i="3" s="1"/>
  <c r="AZ225" i="3"/>
  <c r="BA227" i="3"/>
  <c r="AZ227" i="3" s="1"/>
  <c r="AZ228" i="3"/>
  <c r="BL232" i="3"/>
  <c r="BL234" i="3"/>
  <c r="AZ242" i="3"/>
  <c r="AZ244" i="3"/>
  <c r="AZ246" i="3"/>
  <c r="AZ262" i="3"/>
  <c r="AZ272" i="3"/>
  <c r="BL280" i="3"/>
  <c r="AZ280" i="3" s="1"/>
  <c r="BA430" i="3"/>
  <c r="AZ430" i="3" s="1"/>
  <c r="BA432" i="3"/>
  <c r="AZ432" i="3" s="1"/>
  <c r="BA433" i="3"/>
  <c r="AZ433" i="3" s="1"/>
  <c r="BA434" i="3"/>
  <c r="AZ434" i="3" s="1"/>
  <c r="BA440" i="3"/>
  <c r="AZ440" i="3" s="1"/>
  <c r="AZ444" i="3"/>
  <c r="BA446" i="3"/>
  <c r="AZ446" i="3" s="1"/>
  <c r="BL450" i="3"/>
  <c r="AZ459" i="3"/>
  <c r="AZ460" i="3"/>
  <c r="AZ461" i="3"/>
  <c r="AZ464" i="3"/>
  <c r="AZ467" i="3"/>
  <c r="AZ471" i="3"/>
  <c r="BL475" i="3"/>
  <c r="AZ475" i="3" s="1"/>
  <c r="BA484" i="3"/>
  <c r="AZ484" i="3" s="1"/>
  <c r="AZ485" i="3"/>
  <c r="BA487" i="3"/>
  <c r="AZ487" i="3" s="1"/>
  <c r="BL490" i="3"/>
  <c r="AZ490" i="3" s="1"/>
  <c r="BA315" i="3"/>
  <c r="AZ315" i="3" s="1"/>
  <c r="BL332" i="3"/>
  <c r="BA349" i="3"/>
  <c r="AZ349" i="3" s="1"/>
  <c r="G392" i="3"/>
  <c r="BA395" i="3"/>
  <c r="AZ395" i="3" s="1"/>
  <c r="BL210" i="3"/>
  <c r="AZ210" i="3" s="1"/>
  <c r="G211" i="3"/>
  <c r="BA218" i="3"/>
  <c r="AZ218" i="3" s="1"/>
  <c r="BA219" i="3"/>
  <c r="AZ219" i="3" s="1"/>
  <c r="AZ220" i="3"/>
  <c r="BA222" i="3"/>
  <c r="AZ222" i="3" s="1"/>
  <c r="AZ226" i="3"/>
  <c r="BA229" i="3"/>
  <c r="AZ229" i="3" s="1"/>
  <c r="BA230" i="3"/>
  <c r="AZ230" i="3" s="1"/>
  <c r="AZ231" i="3"/>
  <c r="BA237" i="3"/>
  <c r="AZ237" i="3" s="1"/>
  <c r="BA240" i="3"/>
  <c r="AZ240" i="3" s="1"/>
  <c r="BA243" i="3"/>
  <c r="AZ260" i="3"/>
  <c r="AZ270" i="3"/>
  <c r="AZ278" i="3"/>
  <c r="AZ40" i="3"/>
  <c r="F23" i="36"/>
  <c r="BL429" i="3"/>
  <c r="AZ429" i="3" s="1"/>
  <c r="AZ439" i="3"/>
  <c r="BA447" i="3"/>
  <c r="AZ447" i="3" s="1"/>
  <c r="BA450" i="3"/>
  <c r="AZ450" i="3" s="1"/>
  <c r="BL454" i="3"/>
  <c r="AZ454" i="3" s="1"/>
  <c r="BL461" i="3"/>
  <c r="BL468" i="3"/>
  <c r="AZ468" i="3" s="1"/>
  <c r="BL472" i="3"/>
  <c r="AZ472" i="3" s="1"/>
  <c r="BA480" i="3"/>
  <c r="AZ480" i="3" s="1"/>
  <c r="AZ481" i="3"/>
  <c r="AZ483" i="3"/>
  <c r="BA488" i="3"/>
  <c r="AZ488" i="3" s="1"/>
  <c r="BL316" i="3"/>
  <c r="AZ316" i="3" s="1"/>
  <c r="BL346" i="3"/>
  <c r="AZ346" i="3" s="1"/>
  <c r="BA358" i="3"/>
  <c r="AZ358" i="3" s="1"/>
  <c r="BL365" i="3"/>
  <c r="AZ365" i="3" s="1"/>
  <c r="BA368" i="3"/>
  <c r="AZ368" i="3" s="1"/>
  <c r="BA388" i="3"/>
  <c r="AZ388" i="3" s="1"/>
  <c r="G208" i="3"/>
  <c r="BL209" i="3"/>
  <c r="AZ209" i="3" s="1"/>
  <c r="BL213" i="3"/>
  <c r="AZ213" i="3" s="1"/>
  <c r="G214" i="3"/>
  <c r="BL215" i="3"/>
  <c r="AZ215" i="3" s="1"/>
  <c r="G216" i="3"/>
  <c r="AZ221" i="3"/>
  <c r="BA232" i="3"/>
  <c r="BA234" i="3"/>
  <c r="AZ234" i="3" s="1"/>
  <c r="BA267" i="3"/>
  <c r="AZ267" i="3" s="1"/>
  <c r="AZ161" i="3"/>
  <c r="BA239" i="3"/>
  <c r="AZ239" i="3" s="1"/>
  <c r="BL243" i="3"/>
  <c r="BL246" i="3"/>
  <c r="G283" i="3"/>
  <c r="BA292" i="3"/>
  <c r="AZ292" i="3" s="1"/>
  <c r="BA293" i="3"/>
  <c r="AZ293" i="3" s="1"/>
  <c r="AZ294" i="3"/>
  <c r="BA300" i="3"/>
  <c r="AZ300" i="3" s="1"/>
  <c r="BA301" i="3"/>
  <c r="AZ301" i="3" s="1"/>
  <c r="AZ302" i="3"/>
  <c r="BL118" i="3"/>
  <c r="AZ118" i="3" s="1"/>
  <c r="BA120" i="3"/>
  <c r="AZ120" i="3" s="1"/>
  <c r="BL138" i="3"/>
  <c r="AZ138" i="3" s="1"/>
  <c r="BA140" i="3"/>
  <c r="AZ140" i="3" s="1"/>
  <c r="AZ141" i="3"/>
  <c r="BA149" i="3"/>
  <c r="AZ149" i="3" s="1"/>
  <c r="BL161" i="3"/>
  <c r="BA166" i="3"/>
  <c r="AZ166" i="3" s="1"/>
  <c r="BA169" i="3"/>
  <c r="AZ169" i="3" s="1"/>
  <c r="BL173" i="3"/>
  <c r="AZ173" i="3" s="1"/>
  <c r="BL178" i="3"/>
  <c r="AZ178" i="3" s="1"/>
  <c r="BA180" i="3"/>
  <c r="AZ180" i="3" s="1"/>
  <c r="BA186" i="3"/>
  <c r="AZ186" i="3" s="1"/>
  <c r="BL206" i="3"/>
  <c r="AZ206" i="3" s="1"/>
  <c r="BL238" i="3"/>
  <c r="AZ238" i="3" s="1"/>
  <c r="G242" i="3"/>
  <c r="BA249" i="3"/>
  <c r="AZ249" i="3" s="1"/>
  <c r="BL253" i="3"/>
  <c r="AZ253" i="3" s="1"/>
  <c r="BL258" i="3"/>
  <c r="AZ258" i="3" s="1"/>
  <c r="BA264" i="3"/>
  <c r="AZ264" i="3" s="1"/>
  <c r="BL268" i="3"/>
  <c r="AZ268" i="3" s="1"/>
  <c r="BA274" i="3"/>
  <c r="AZ274" i="3" s="1"/>
  <c r="BA277" i="3"/>
  <c r="AZ277" i="3" s="1"/>
  <c r="BA282" i="3"/>
  <c r="AZ282" i="3" s="1"/>
  <c r="BL284" i="3"/>
  <c r="AZ284" i="3" s="1"/>
  <c r="G285" i="3"/>
  <c r="BL286" i="3"/>
  <c r="AZ286" i="3" s="1"/>
  <c r="BA289" i="3"/>
  <c r="AZ289" i="3" s="1"/>
  <c r="BA290" i="3"/>
  <c r="AZ290" i="3" s="1"/>
  <c r="BA295" i="3"/>
  <c r="AZ295" i="3" s="1"/>
  <c r="BA297" i="3"/>
  <c r="AZ297" i="3" s="1"/>
  <c r="BA298" i="3"/>
  <c r="AZ298" i="3" s="1"/>
  <c r="AZ113" i="3"/>
  <c r="BL121" i="3"/>
  <c r="AZ121" i="3" s="1"/>
  <c r="BL123" i="3"/>
  <c r="AZ123" i="3" s="1"/>
  <c r="BA133" i="3"/>
  <c r="AZ133" i="3" s="1"/>
  <c r="BL141" i="3"/>
  <c r="BL146" i="3"/>
  <c r="AZ146" i="3" s="1"/>
  <c r="BA148" i="3"/>
  <c r="AZ148" i="3" s="1"/>
  <c r="BA154" i="3"/>
  <c r="AZ154" i="3" s="1"/>
  <c r="AZ185" i="3"/>
  <c r="BL199" i="3"/>
  <c r="AZ205" i="3"/>
  <c r="BA241" i="3"/>
  <c r="AZ241" i="3" s="1"/>
  <c r="G245" i="3"/>
  <c r="G248" i="3"/>
  <c r="G252" i="3"/>
  <c r="BL263" i="3"/>
  <c r="AZ263" i="3" s="1"/>
  <c r="G267" i="3"/>
  <c r="BL273" i="3"/>
  <c r="AZ273" i="3" s="1"/>
  <c r="BL276" i="3"/>
  <c r="AZ276" i="3" s="1"/>
  <c r="BL281" i="3"/>
  <c r="AZ281" i="3" s="1"/>
  <c r="G293" i="3"/>
  <c r="G301" i="3"/>
  <c r="AZ193" i="3"/>
  <c r="AZ106" i="3"/>
  <c r="G19" i="3"/>
  <c r="BL22" i="3"/>
  <c r="BL5" i="3" s="1"/>
  <c r="BL25" i="3"/>
  <c r="AZ25" i="3" s="1"/>
  <c r="BL30" i="3"/>
  <c r="AZ30" i="3" s="1"/>
  <c r="BL37" i="3"/>
  <c r="G38" i="3"/>
  <c r="BA42" i="3"/>
  <c r="BL44" i="3"/>
  <c r="BL50" i="3"/>
  <c r="G51" i="3"/>
  <c r="BL52" i="3"/>
  <c r="BL55" i="3"/>
  <c r="G56" i="3"/>
  <c r="AZ70" i="3"/>
  <c r="G78" i="3"/>
  <c r="BL85" i="3"/>
  <c r="AZ85" i="3" s="1"/>
  <c r="AZ91" i="3"/>
  <c r="BL95" i="3"/>
  <c r="AZ96" i="3"/>
  <c r="AZ98" i="3"/>
  <c r="AZ100" i="3"/>
  <c r="BA107" i="3"/>
  <c r="AZ107" i="3" s="1"/>
  <c r="BA112" i="3"/>
  <c r="AZ112" i="3" s="1"/>
  <c r="C26" i="71"/>
  <c r="D26" i="71" s="1"/>
  <c r="D27" i="71"/>
  <c r="Y13" i="71"/>
  <c r="Z13" i="71" s="1"/>
  <c r="BA18" i="3"/>
  <c r="AZ18" i="3" s="1"/>
  <c r="BL40" i="3"/>
  <c r="AZ44" i="3"/>
  <c r="BA48" i="3"/>
  <c r="AZ48" i="3" s="1"/>
  <c r="BA53" i="3"/>
  <c r="AZ53" i="3" s="1"/>
  <c r="BL58" i="3"/>
  <c r="AZ58" i="3" s="1"/>
  <c r="AZ62" i="3"/>
  <c r="AC18" i="36"/>
  <c r="W18" i="36"/>
  <c r="AA29" i="71"/>
  <c r="AA25" i="71"/>
  <c r="AA30" i="71"/>
  <c r="AA26" i="71"/>
  <c r="AA27" i="71"/>
  <c r="AA23" i="71"/>
  <c r="AA3" i="71"/>
  <c r="AA22" i="71"/>
  <c r="AA28" i="71"/>
  <c r="Y10" i="71"/>
  <c r="Z10" i="71" s="1"/>
  <c r="Y9" i="71"/>
  <c r="Z9" i="71" s="1"/>
  <c r="Y39" i="71"/>
  <c r="Z39" i="71" s="1"/>
  <c r="Y35" i="71"/>
  <c r="Z35" i="71" s="1"/>
  <c r="Y37" i="71"/>
  <c r="Z37" i="71" s="1"/>
  <c r="BL207" i="3"/>
  <c r="AZ207" i="3" s="1"/>
  <c r="G21" i="3"/>
  <c r="G24" i="3"/>
  <c r="G29" i="3"/>
  <c r="G36" i="3"/>
  <c r="BA37" i="3"/>
  <c r="AZ37" i="3" s="1"/>
  <c r="BA38" i="3"/>
  <c r="AZ38" i="3" s="1"/>
  <c r="BL42" i="3"/>
  <c r="G43" i="3"/>
  <c r="BA45" i="3"/>
  <c r="AZ45" i="3" s="1"/>
  <c r="BA50" i="3"/>
  <c r="AZ50" i="3" s="1"/>
  <c r="AZ52" i="3"/>
  <c r="BA55" i="3"/>
  <c r="AZ55" i="3" s="1"/>
  <c r="AZ57" i="3"/>
  <c r="BA63" i="3"/>
  <c r="AZ63" i="3" s="1"/>
  <c r="BA65" i="3"/>
  <c r="BA82" i="3"/>
  <c r="U21" i="21"/>
  <c r="AB21" i="21"/>
  <c r="AB32" i="71"/>
  <c r="AB26" i="71"/>
  <c r="AB30" i="71"/>
  <c r="AB27" i="71"/>
  <c r="AB31" i="71"/>
  <c r="E34" i="71"/>
  <c r="E35" i="71" s="1"/>
  <c r="E36" i="71" s="1"/>
  <c r="U36" i="71" s="1"/>
  <c r="AA33" i="71"/>
  <c r="AA32" i="71"/>
  <c r="Y34" i="71"/>
  <c r="Z34" i="71" s="1"/>
  <c r="Y31" i="71"/>
  <c r="Z31" i="71" s="1"/>
  <c r="Y29" i="71"/>
  <c r="Z29" i="71" s="1"/>
  <c r="Y33" i="71"/>
  <c r="Z33" i="71" s="1"/>
  <c r="Y26" i="71"/>
  <c r="Z26" i="71" s="1"/>
  <c r="Y32" i="71"/>
  <c r="Z32" i="71" s="1"/>
  <c r="S68" i="71"/>
  <c r="N68" i="71"/>
  <c r="B67" i="71"/>
  <c r="G61" i="3"/>
  <c r="BL65" i="3"/>
  <c r="G74" i="3"/>
  <c r="BA78" i="3"/>
  <c r="AZ78" i="3" s="1"/>
  <c r="BL82" i="3"/>
  <c r="G88" i="3"/>
  <c r="BL92" i="3"/>
  <c r="AZ92" i="3" s="1"/>
  <c r="BL97" i="3"/>
  <c r="AZ97" i="3" s="1"/>
  <c r="G102" i="3"/>
  <c r="G105" i="3"/>
  <c r="G110" i="3"/>
  <c r="AA24" i="71"/>
  <c r="AA36" i="71"/>
  <c r="AA34" i="71"/>
  <c r="X37" i="71"/>
  <c r="B38" i="71"/>
  <c r="B39" i="71" s="1"/>
  <c r="B40" i="71" s="1"/>
  <c r="S40" i="71" s="1"/>
  <c r="D46" i="71"/>
  <c r="C47" i="71"/>
  <c r="D47" i="71" s="1"/>
  <c r="Y12" i="71"/>
  <c r="Z12" i="71" s="1"/>
  <c r="AA21" i="71"/>
  <c r="AB13" i="71"/>
  <c r="BA60" i="3"/>
  <c r="AZ60" i="3" s="1"/>
  <c r="G69" i="3"/>
  <c r="BA73" i="3"/>
  <c r="AZ73" i="3" s="1"/>
  <c r="BL77" i="3"/>
  <c r="AZ77" i="3" s="1"/>
  <c r="G81" i="3"/>
  <c r="BA87" i="3"/>
  <c r="AZ87" i="3" s="1"/>
  <c r="G96" i="3"/>
  <c r="BA101" i="3"/>
  <c r="AZ101" i="3" s="1"/>
  <c r="BA104" i="3"/>
  <c r="AZ104" i="3" s="1"/>
  <c r="BA109" i="3"/>
  <c r="AZ109" i="3" s="1"/>
  <c r="F3" i="35"/>
  <c r="AC21" i="37"/>
  <c r="D30" i="71"/>
  <c r="C31" i="71"/>
  <c r="X29" i="71"/>
  <c r="Y28" i="71"/>
  <c r="Z28" i="71" s="1"/>
  <c r="AB35" i="71"/>
  <c r="AB34" i="71"/>
  <c r="C40" i="71"/>
  <c r="BL59" i="3"/>
  <c r="AZ59" i="3" s="1"/>
  <c r="BL62" i="3"/>
  <c r="BA68" i="3"/>
  <c r="AZ68" i="3" s="1"/>
  <c r="BL72" i="3"/>
  <c r="AZ72" i="3" s="1"/>
  <c r="G76" i="3"/>
  <c r="BA80" i="3"/>
  <c r="AZ80" i="3" s="1"/>
  <c r="BL86" i="3"/>
  <c r="AZ86" i="3" s="1"/>
  <c r="G90" i="3"/>
  <c r="BA95" i="3"/>
  <c r="G99" i="3"/>
  <c r="BL103" i="3"/>
  <c r="AZ103" i="3" s="1"/>
  <c r="BL106" i="3"/>
  <c r="G112" i="3"/>
  <c r="AC25" i="40"/>
  <c r="W25" i="40"/>
  <c r="AB18" i="36"/>
  <c r="U18" i="36"/>
  <c r="T52" i="71"/>
  <c r="D52" i="71"/>
  <c r="X28" i="71"/>
  <c r="AA35" i="71"/>
  <c r="X33" i="71"/>
  <c r="X34" i="71"/>
  <c r="X31" i="71"/>
  <c r="X35" i="71"/>
  <c r="X27" i="71"/>
  <c r="E59" i="71"/>
  <c r="E60" i="71" s="1"/>
  <c r="U60" i="71" s="1"/>
  <c r="C64" i="71"/>
  <c r="D63" i="71"/>
  <c r="F67" i="71"/>
  <c r="V68" i="71"/>
  <c r="U76" i="71"/>
  <c r="E75" i="71"/>
  <c r="E74" i="71" s="1"/>
  <c r="AB23" i="71"/>
  <c r="AB25" i="71"/>
  <c r="AB24" i="71"/>
  <c r="AA18" i="71"/>
  <c r="X11" i="71"/>
  <c r="AB14" i="71"/>
  <c r="S21" i="21"/>
  <c r="AB29" i="71"/>
  <c r="X36" i="71"/>
  <c r="Y38" i="71"/>
  <c r="Z38" i="71" s="1"/>
  <c r="X24" i="71"/>
  <c r="X21" i="71"/>
  <c r="X18" i="71"/>
  <c r="AA15" i="71"/>
  <c r="AA14" i="71"/>
  <c r="AA13" i="71"/>
  <c r="AA11" i="71"/>
  <c r="AA17" i="71"/>
  <c r="X25" i="71"/>
  <c r="C35" i="71"/>
  <c r="E31" i="71"/>
  <c r="E32" i="71" s="1"/>
  <c r="U32" i="71" s="1"/>
  <c r="X9" i="71"/>
  <c r="AA10" i="71"/>
  <c r="AA9" i="71"/>
  <c r="C43" i="71"/>
  <c r="Y24" i="71"/>
  <c r="Z24" i="71" s="1"/>
  <c r="Y22" i="71"/>
  <c r="Z22" i="71" s="1"/>
  <c r="Y25" i="71"/>
  <c r="Z25" i="71" s="1"/>
  <c r="Y23" i="71"/>
  <c r="Z23" i="71" s="1"/>
  <c r="AB21" i="71"/>
  <c r="Y18" i="71"/>
  <c r="Z18" i="71" s="1"/>
  <c r="X30" i="71"/>
  <c r="B28" i="71"/>
  <c r="X26" i="71"/>
  <c r="Y27" i="71"/>
  <c r="Z27" i="71" s="1"/>
  <c r="Y30" i="71"/>
  <c r="Z30" i="71" s="1"/>
  <c r="AA31" i="71"/>
  <c r="Y36" i="71"/>
  <c r="Z36" i="71" s="1"/>
  <c r="E22" i="71"/>
  <c r="E21" i="71" s="1"/>
  <c r="E20" i="71" s="1"/>
  <c r="X22" i="71"/>
  <c r="Y21" i="71"/>
  <c r="Z21" i="71" s="1"/>
  <c r="Y17" i="71"/>
  <c r="Z17" i="71" s="1"/>
  <c r="AB18" i="71"/>
  <c r="X13" i="71"/>
  <c r="X17" i="71"/>
  <c r="AA12" i="71"/>
  <c r="AB9" i="71"/>
  <c r="N56" i="9"/>
  <c r="AB15" i="71"/>
  <c r="AB17" i="71"/>
  <c r="AB11" i="71"/>
  <c r="Y11" i="71"/>
  <c r="Z11" i="71" s="1"/>
  <c r="X15" i="71"/>
  <c r="AB10" i="71"/>
  <c r="Y14" i="71"/>
  <c r="Z14" i="71" s="1"/>
  <c r="X10" i="71"/>
  <c r="AB12" i="71"/>
  <c r="X12" i="71"/>
  <c r="X14" i="7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F26" i="43" s="1"/>
  <c r="F30" i="6"/>
  <c r="E28" i="6"/>
  <c r="L19" i="6"/>
  <c r="L27" i="6" s="1"/>
  <c r="M6" i="1"/>
  <c r="O6" i="1"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0" i="6"/>
  <c r="E13" i="6"/>
  <c r="H16" i="1"/>
  <c r="P11" i="1"/>
  <c r="K14" i="1"/>
  <c r="D9" i="11"/>
  <c r="C9" i="11" s="1"/>
  <c r="D19" i="12"/>
  <c r="C19" i="12" s="1"/>
  <c r="AZ13" i="3"/>
  <c r="O9" i="1"/>
  <c r="P9" i="1" s="1"/>
  <c r="O12" i="1"/>
  <c r="P12" i="1" s="1"/>
  <c r="O8" i="1"/>
  <c r="P8" i="1" s="1"/>
  <c r="H73" i="43"/>
  <c r="H90" i="43"/>
  <c r="C23" i="43"/>
  <c r="I18" i="43"/>
  <c r="E17" i="43" s="1"/>
  <c r="C17" i="43" s="1"/>
  <c r="C24" i="43"/>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C6" i="67"/>
  <c r="B20" i="31"/>
  <c r="B21" i="31" s="1"/>
  <c r="I1" i="73"/>
  <c r="B39" i="1" s="1"/>
  <c r="F51" i="67"/>
  <c r="F65" i="67"/>
  <c r="J53" i="67"/>
  <c r="J57" i="67"/>
  <c r="J55" i="67" s="1"/>
  <c r="J58" i="67" s="1"/>
  <c r="Q50" i="67" s="1"/>
  <c r="L56" i="67"/>
  <c r="I54" i="67"/>
  <c r="F66" i="67"/>
  <c r="L59" i="15"/>
  <c r="N59" i="15"/>
  <c r="M59" i="15"/>
  <c r="Q71" i="67"/>
  <c r="F64" i="15"/>
  <c r="C27" i="67"/>
  <c r="F71" i="67"/>
  <c r="C27" i="15"/>
  <c r="N59" i="67"/>
  <c r="L59" i="67"/>
  <c r="L58" i="67"/>
  <c r="M59" i="67"/>
  <c r="B13" i="70"/>
  <c r="M7" i="67"/>
  <c r="J6" i="67" s="1"/>
  <c r="F50" i="67"/>
  <c r="F68" i="67"/>
  <c r="F64" i="67"/>
  <c r="C36" i="68"/>
  <c r="D9" i="69"/>
  <c r="C36" i="69"/>
  <c r="D9" i="68"/>
  <c r="F37" i="15"/>
  <c r="M8" i="15"/>
  <c r="D7" i="73"/>
  <c r="D6" i="73"/>
  <c r="F16" i="15"/>
  <c r="M6" i="15"/>
  <c r="M9" i="15"/>
  <c r="F9" i="15"/>
  <c r="C16" i="67"/>
  <c r="F43" i="15"/>
  <c r="F40" i="15"/>
  <c r="C76" i="15"/>
  <c r="D3" i="73"/>
  <c r="M23" i="15"/>
  <c r="F8" i="15"/>
  <c r="D4" i="73"/>
  <c r="M28" i="15"/>
  <c r="F6" i="15"/>
  <c r="M26" i="15"/>
  <c r="F38" i="15"/>
  <c r="L48" i="15"/>
  <c r="M22" i="15"/>
  <c r="F7" i="15"/>
  <c r="D5" i="73"/>
  <c r="M29" i="15"/>
  <c r="C30" i="11" l="1"/>
  <c r="C31" i="12"/>
  <c r="C30" i="69"/>
  <c r="C28" i="67"/>
  <c r="C77" i="9"/>
  <c r="C74" i="9" s="1"/>
  <c r="C48" i="69"/>
  <c r="H26" i="43"/>
  <c r="N370" i="46"/>
  <c r="E26" i="43"/>
  <c r="G26" i="43"/>
  <c r="E29" i="6"/>
  <c r="K15" i="1" s="1"/>
  <c r="K16" i="1" s="1"/>
  <c r="P6" i="1"/>
  <c r="C13" i="12" s="1"/>
  <c r="J26" i="43"/>
  <c r="E15" i="6"/>
  <c r="E64" i="39" s="1"/>
  <c r="N94" i="46"/>
  <c r="K1" i="73"/>
  <c r="P26" i="43"/>
  <c r="A1" i="79"/>
  <c r="Q71" i="15"/>
  <c r="F66" i="15"/>
  <c r="F71" i="15"/>
  <c r="I54" i="15"/>
  <c r="J53" i="15"/>
  <c r="L56" i="15" s="1"/>
  <c r="L58" i="15"/>
  <c r="Q60" i="15" s="1"/>
  <c r="J57" i="15"/>
  <c r="J55" i="15" s="1"/>
  <c r="J58" i="15" s="1"/>
  <c r="Q50" i="15" s="1"/>
  <c r="F31" i="15"/>
  <c r="C6" i="15"/>
  <c r="C32" i="15" s="1"/>
  <c r="F51" i="15"/>
  <c r="M7" i="15"/>
  <c r="J6" i="15" s="1"/>
  <c r="J18" i="15" s="1"/>
  <c r="F50" i="15"/>
  <c r="F65" i="15"/>
  <c r="F68" i="15"/>
  <c r="C32" i="71"/>
  <c r="D31" i="71"/>
  <c r="S34" i="35"/>
  <c r="AA34" i="35"/>
  <c r="AB9" i="36"/>
  <c r="U9" i="36"/>
  <c r="AC36" i="35"/>
  <c r="W36" i="35"/>
  <c r="BA5" i="3"/>
  <c r="E27" i="6" s="1"/>
  <c r="K26" i="6" s="1"/>
  <c r="M26" i="6" s="1"/>
  <c r="I26" i="6" s="1"/>
  <c r="S26" i="6" s="1"/>
  <c r="C15" i="71"/>
  <c r="T16" i="71"/>
  <c r="W31" i="21"/>
  <c r="AC31" i="21"/>
  <c r="J7" i="37"/>
  <c r="W7" i="37" s="1"/>
  <c r="E59" i="40"/>
  <c r="S28" i="71"/>
  <c r="B27" i="71"/>
  <c r="B26" i="71" s="1"/>
  <c r="C44" i="71"/>
  <c r="D43" i="71"/>
  <c r="F66" i="71"/>
  <c r="Q67" i="71"/>
  <c r="AA23" i="36"/>
  <c r="S23" i="36"/>
  <c r="AZ243" i="3"/>
  <c r="W34" i="35"/>
  <c r="AC34" i="35"/>
  <c r="AC9" i="36"/>
  <c r="W9" i="36"/>
  <c r="AB36" i="35"/>
  <c r="U36" i="35"/>
  <c r="AA43" i="39"/>
  <c r="S43" i="39"/>
  <c r="U31" i="21"/>
  <c r="AB31" i="21"/>
  <c r="B15" i="71"/>
  <c r="B14" i="71" s="1"/>
  <c r="B13" i="71" s="1"/>
  <c r="B12" i="71" s="1"/>
  <c r="S16" i="71"/>
  <c r="C36" i="71"/>
  <c r="D35" i="71"/>
  <c r="AZ95" i="3"/>
  <c r="AZ82" i="3"/>
  <c r="AZ22" i="3"/>
  <c r="AZ5" i="3" s="1"/>
  <c r="AB23" i="36"/>
  <c r="U23" i="36"/>
  <c r="AB34" i="35"/>
  <c r="U34" i="35"/>
  <c r="U9" i="34"/>
  <c r="AB9" i="34"/>
  <c r="G5" i="3"/>
  <c r="B3" i="3" s="1"/>
  <c r="E110" i="3" s="1"/>
  <c r="AC43" i="39"/>
  <c r="W43" i="39"/>
  <c r="F7" i="36"/>
  <c r="AA7" i="36" s="1"/>
  <c r="R36" i="36" s="1"/>
  <c r="H7" i="36"/>
  <c r="U7" i="36" s="1"/>
  <c r="E19" i="71"/>
  <c r="E18" i="71" s="1"/>
  <c r="E17" i="71" s="1"/>
  <c r="E16" i="71" s="1"/>
  <c r="V20" i="71"/>
  <c r="D64" i="71"/>
  <c r="T64" i="71"/>
  <c r="T40" i="71"/>
  <c r="D40" i="71"/>
  <c r="N67" i="71"/>
  <c r="B66" i="71"/>
  <c r="AZ65" i="3"/>
  <c r="AZ42" i="3"/>
  <c r="AZ232" i="3"/>
  <c r="S12" i="34"/>
  <c r="AA12" i="34"/>
  <c r="AZ587" i="3"/>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F31" i="6"/>
  <c r="E51" i="40"/>
  <c r="E58" i="40"/>
  <c r="E62" i="39"/>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S10" i="39"/>
  <c r="AA10" i="39"/>
  <c r="H7" i="33"/>
  <c r="J7" i="33"/>
  <c r="D65" i="40"/>
  <c r="E63" i="40"/>
  <c r="F48" i="35"/>
  <c r="AC7" i="37"/>
  <c r="V42" i="37" s="1"/>
  <c r="I42" i="37" s="1"/>
  <c r="AB7" i="36"/>
  <c r="T36" i="36" s="1"/>
  <c r="G36" i="36" s="1"/>
  <c r="F7" i="33"/>
  <c r="E58" i="21"/>
  <c r="AC7" i="36"/>
  <c r="V36" i="36" s="1"/>
  <c r="I36" i="36" s="1"/>
  <c r="W7" i="36"/>
  <c r="F7" i="37"/>
  <c r="M17" i="67"/>
  <c r="M17" i="15"/>
  <c r="P28" i="43"/>
  <c r="B66" i="40" s="1"/>
  <c r="P25" i="43"/>
  <c r="C49" i="67"/>
  <c r="P29" i="43"/>
  <c r="P27" i="43"/>
  <c r="B70" i="39" s="1"/>
  <c r="C32" i="67"/>
  <c r="Q60" i="67"/>
  <c r="Q73" i="67"/>
  <c r="J10" i="67"/>
  <c r="J5" i="67" s="1"/>
  <c r="J10" i="15"/>
  <c r="J18" i="67"/>
  <c r="F1" i="67"/>
  <c r="Q52" i="67"/>
  <c r="Q61" i="67"/>
  <c r="Q74" i="67"/>
  <c r="Q74" i="15"/>
  <c r="Q61" i="15"/>
  <c r="AE11" i="1"/>
  <c r="AE9" i="1"/>
  <c r="F27" i="68"/>
  <c r="AE7" i="1"/>
  <c r="AE8" i="1"/>
  <c r="AE12" i="1"/>
  <c r="AE10" i="1"/>
  <c r="C16" i="15"/>
  <c r="F41" i="67"/>
  <c r="G1" i="73"/>
  <c r="D26" i="43" l="1"/>
  <c r="C25" i="43" s="1"/>
  <c r="E60" i="40"/>
  <c r="E16" i="6"/>
  <c r="C49" i="15"/>
  <c r="Q73" i="15"/>
  <c r="F59" i="15"/>
  <c r="J5" i="15"/>
  <c r="J24" i="15" s="1"/>
  <c r="B40" i="1"/>
  <c r="F22" i="11" s="1"/>
  <c r="F1" i="15"/>
  <c r="Q52" i="15"/>
  <c r="S7" i="36"/>
  <c r="E3" i="6"/>
  <c r="D3" i="21" s="1"/>
  <c r="AY6" i="3"/>
  <c r="AY176" i="3" s="1"/>
  <c r="E242" i="3"/>
  <c r="N65" i="71"/>
  <c r="N66" i="71"/>
  <c r="E43" i="3"/>
  <c r="E19" i="3"/>
  <c r="E81" i="3"/>
  <c r="D44" i="71"/>
  <c r="T44" i="71"/>
  <c r="E24" i="3"/>
  <c r="E252" i="3"/>
  <c r="E65" i="39"/>
  <c r="T49" i="34"/>
  <c r="G49" i="34" s="1"/>
  <c r="E90" i="3"/>
  <c r="E15" i="71"/>
  <c r="E14" i="71" s="1"/>
  <c r="E13" i="71" s="1"/>
  <c r="E12" i="71" s="1"/>
  <c r="V16" i="71"/>
  <c r="E112" i="3"/>
  <c r="B11" i="71"/>
  <c r="B10" i="71" s="1"/>
  <c r="B9" i="71" s="1"/>
  <c r="B8" i="71" s="1"/>
  <c r="B7" i="71" s="1"/>
  <c r="B6" i="71" s="1"/>
  <c r="B5" i="71" s="1"/>
  <c r="S12" i="71"/>
  <c r="E56" i="3"/>
  <c r="C14" i="71"/>
  <c r="D15" i="71"/>
  <c r="E283" i="3"/>
  <c r="E510" i="3"/>
  <c r="E205" i="3"/>
  <c r="E296" i="3"/>
  <c r="E140" i="3"/>
  <c r="E197" i="3"/>
  <c r="E369" i="3"/>
  <c r="E534" i="3"/>
  <c r="T6" i="3"/>
  <c r="E405" i="3"/>
  <c r="E456" i="3"/>
  <c r="E469" i="3"/>
  <c r="E512" i="3"/>
  <c r="E408" i="3"/>
  <c r="E451" i="3"/>
  <c r="E360" i="3"/>
  <c r="E556" i="3"/>
  <c r="E13" i="3"/>
  <c r="E494" i="3"/>
  <c r="E452" i="3"/>
  <c r="E470" i="3"/>
  <c r="E420" i="3"/>
  <c r="E26" i="3"/>
  <c r="E104" i="3"/>
  <c r="E41" i="3"/>
  <c r="E115" i="3"/>
  <c r="E198" i="3"/>
  <c r="E139" i="3"/>
  <c r="E225" i="3"/>
  <c r="E281" i="3"/>
  <c r="E243" i="3"/>
  <c r="E391" i="3"/>
  <c r="E356" i="3"/>
  <c r="AL6" i="3"/>
  <c r="E42" i="3"/>
  <c r="E94" i="3"/>
  <c r="E75" i="3"/>
  <c r="E428" i="3"/>
  <c r="E482" i="3"/>
  <c r="E412" i="3"/>
  <c r="E18" i="3"/>
  <c r="E129" i="3"/>
  <c r="E16" i="3"/>
  <c r="E148" i="3"/>
  <c r="E167" i="3"/>
  <c r="E575" i="3"/>
  <c r="E542" i="3"/>
  <c r="E543" i="3"/>
  <c r="E442" i="3"/>
  <c r="E487" i="3"/>
  <c r="E422" i="3"/>
  <c r="E449" i="3"/>
  <c r="E374" i="3"/>
  <c r="AH6" i="3"/>
  <c r="E554" i="3"/>
  <c r="E413" i="3"/>
  <c r="E483" i="3"/>
  <c r="E417" i="3"/>
  <c r="E39" i="3"/>
  <c r="E25" i="3"/>
  <c r="E95" i="3"/>
  <c r="E187" i="3"/>
  <c r="E202" i="3"/>
  <c r="E258" i="3"/>
  <c r="E259" i="3"/>
  <c r="E349" i="3"/>
  <c r="E504" i="3"/>
  <c r="E60" i="3"/>
  <c r="E59" i="3"/>
  <c r="E462" i="3"/>
  <c r="E15" i="3"/>
  <c r="E467" i="3"/>
  <c r="E98" i="3"/>
  <c r="E100" i="3"/>
  <c r="E160" i="3"/>
  <c r="E142" i="3"/>
  <c r="E200" i="3"/>
  <c r="E249" i="3"/>
  <c r="E300" i="3"/>
  <c r="E371" i="3"/>
  <c r="E310" i="3"/>
  <c r="E492" i="3"/>
  <c r="E23" i="3"/>
  <c r="E84" i="3"/>
  <c r="E67" i="3"/>
  <c r="E33" i="3"/>
  <c r="E144" i="3"/>
  <c r="E184" i="3"/>
  <c r="E233" i="3"/>
  <c r="E355" i="3"/>
  <c r="E381" i="3"/>
  <c r="E68" i="3"/>
  <c r="E63" i="3"/>
  <c r="E118" i="3"/>
  <c r="E264" i="3"/>
  <c r="E309" i="3"/>
  <c r="E513" i="3"/>
  <c r="E329" i="3"/>
  <c r="E536" i="3"/>
  <c r="E149" i="3"/>
  <c r="E116" i="3"/>
  <c r="E286" i="3"/>
  <c r="AD6" i="3"/>
  <c r="E564" i="3"/>
  <c r="E502" i="3"/>
  <c r="E464" i="3"/>
  <c r="E507" i="3"/>
  <c r="E430" i="3"/>
  <c r="E459" i="3"/>
  <c r="AP6" i="3"/>
  <c r="E582" i="3"/>
  <c r="E419" i="3"/>
  <c r="E491" i="3"/>
  <c r="E436" i="3"/>
  <c r="E40" i="3"/>
  <c r="E37" i="3"/>
  <c r="E131" i="3"/>
  <c r="E119" i="3"/>
  <c r="E192" i="3"/>
  <c r="E297" i="3"/>
  <c r="E276" i="3"/>
  <c r="E363" i="3"/>
  <c r="E375" i="3"/>
  <c r="L6" i="3"/>
  <c r="E488" i="3"/>
  <c r="E473" i="3"/>
  <c r="E425" i="3"/>
  <c r="E47" i="3"/>
  <c r="E103" i="3"/>
  <c r="E190" i="3"/>
  <c r="E174" i="3"/>
  <c r="E220" i="3"/>
  <c r="E275" i="3"/>
  <c r="E235" i="3"/>
  <c r="E324" i="3"/>
  <c r="E383" i="3"/>
  <c r="E342" i="3"/>
  <c r="E35" i="3"/>
  <c r="E86" i="3"/>
  <c r="E34" i="3"/>
  <c r="E49" i="3"/>
  <c r="E206" i="3"/>
  <c r="E232" i="3"/>
  <c r="E251" i="3"/>
  <c r="E370" i="3"/>
  <c r="AF6" i="3"/>
  <c r="E80" i="3"/>
  <c r="E158" i="3"/>
  <c r="E287" i="3"/>
  <c r="E308" i="3"/>
  <c r="E326" i="3"/>
  <c r="E22" i="3"/>
  <c r="E83" i="3"/>
  <c r="E539" i="3"/>
  <c r="E244" i="3"/>
  <c r="E223" i="3"/>
  <c r="E199" i="3"/>
  <c r="E312" i="3"/>
  <c r="R6" i="3"/>
  <c r="E421" i="3"/>
  <c r="E486" i="3"/>
  <c r="E541" i="3"/>
  <c r="E416" i="3"/>
  <c r="E490" i="3"/>
  <c r="I3" i="6"/>
  <c r="E500" i="3"/>
  <c r="E435" i="3"/>
  <c r="E520" i="3"/>
  <c r="E463" i="3"/>
  <c r="E57" i="3"/>
  <c r="E178" i="3"/>
  <c r="E132" i="3"/>
  <c r="E240" i="3"/>
  <c r="E226" i="3"/>
  <c r="E292" i="3"/>
  <c r="E378" i="3"/>
  <c r="E372" i="3"/>
  <c r="E544" i="3"/>
  <c r="E540" i="3"/>
  <c r="E484" i="3"/>
  <c r="E446" i="3"/>
  <c r="E79" i="3"/>
  <c r="E46" i="3"/>
  <c r="E138" i="3"/>
  <c r="E195" i="3"/>
  <c r="E163" i="3"/>
  <c r="E209" i="3"/>
  <c r="E266" i="3"/>
  <c r="E307" i="3"/>
  <c r="E354" i="3"/>
  <c r="E584" i="3"/>
  <c r="E66" i="3"/>
  <c r="E48" i="3"/>
  <c r="E87" i="3"/>
  <c r="E127" i="3"/>
  <c r="E250" i="3"/>
  <c r="E284" i="3"/>
  <c r="E341" i="3"/>
  <c r="Y6" i="3"/>
  <c r="E154" i="3"/>
  <c r="E179" i="3"/>
  <c r="E222" i="3"/>
  <c r="E323" i="3"/>
  <c r="E373" i="3"/>
  <c r="E82" i="3"/>
  <c r="E165" i="3"/>
  <c r="E188" i="3"/>
  <c r="E212" i="3"/>
  <c r="E141" i="3"/>
  <c r="E393" i="3"/>
  <c r="E499" i="3"/>
  <c r="E552" i="3"/>
  <c r="E427" i="3"/>
  <c r="E466" i="3"/>
  <c r="E398" i="3"/>
  <c r="E440" i="3"/>
  <c r="E255" i="3"/>
  <c r="E566" i="3"/>
  <c r="J6" i="3"/>
  <c r="E517" i="3"/>
  <c r="E460" i="3"/>
  <c r="E401" i="3"/>
  <c r="E479" i="3"/>
  <c r="E108" i="3"/>
  <c r="E152" i="3"/>
  <c r="E155" i="3"/>
  <c r="E241" i="3"/>
  <c r="E348" i="3"/>
  <c r="E333" i="3"/>
  <c r="E389" i="3"/>
  <c r="E58" i="3"/>
  <c r="E409" i="3"/>
  <c r="E521" i="3"/>
  <c r="E455" i="3"/>
  <c r="E64" i="3"/>
  <c r="E65" i="3"/>
  <c r="E170" i="3"/>
  <c r="E137" i="3"/>
  <c r="E194" i="3"/>
  <c r="E234" i="3"/>
  <c r="E219" i="3"/>
  <c r="E299" i="3"/>
  <c r="E339" i="3"/>
  <c r="E325" i="3"/>
  <c r="AQ6" i="3"/>
  <c r="E52" i="3"/>
  <c r="E123" i="3"/>
  <c r="E147" i="3"/>
  <c r="E289" i="3"/>
  <c r="E340" i="3"/>
  <c r="E364" i="3"/>
  <c r="E50" i="3"/>
  <c r="E20" i="3"/>
  <c r="E62" i="3"/>
  <c r="E176" i="3"/>
  <c r="E218" i="3"/>
  <c r="E265" i="3"/>
  <c r="E365" i="3"/>
  <c r="E524" i="3"/>
  <c r="E101" i="3"/>
  <c r="E113" i="3"/>
  <c r="E522" i="3"/>
  <c r="E173" i="3"/>
  <c r="E497"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86" i="3"/>
  <c r="E49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76" i="3"/>
  <c r="E346" i="3"/>
  <c r="E525"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89" i="3"/>
  <c r="E445" i="3"/>
  <c r="E135" i="3"/>
  <c r="E263" i="3"/>
  <c r="AI6" i="3"/>
  <c r="E385" i="3"/>
  <c r="X6" i="3"/>
  <c r="E498" i="3"/>
  <c r="E332"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69" i="3"/>
  <c r="E278" i="3"/>
  <c r="E563" i="3"/>
  <c r="E172" i="3"/>
  <c r="E535" i="3"/>
  <c r="E161" i="3"/>
  <c r="E191" i="3"/>
  <c r="E423" i="3"/>
  <c r="E246" i="3"/>
  <c r="E267" i="3"/>
  <c r="E102" i="3"/>
  <c r="E21" i="3"/>
  <c r="Q66" i="71"/>
  <c r="Q65" i="71"/>
  <c r="E38" i="3"/>
  <c r="E392" i="3"/>
  <c r="E78" i="3"/>
  <c r="E96" i="3"/>
  <c r="E36" i="3"/>
  <c r="E76" i="3"/>
  <c r="D36" i="71"/>
  <c r="T36" i="71"/>
  <c r="E248" i="3"/>
  <c r="E105" i="3"/>
  <c r="E51" i="3"/>
  <c r="T32" i="71"/>
  <c r="D32" i="71"/>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3" i="3"/>
  <c r="AY95" i="3"/>
  <c r="AY297" i="3"/>
  <c r="AY103" i="3"/>
  <c r="AY204" i="3"/>
  <c r="AY441" i="3"/>
  <c r="AY217" i="3"/>
  <c r="AY433" i="3"/>
  <c r="AY97" i="3"/>
  <c r="AY33" i="3"/>
  <c r="AY118" i="3"/>
  <c r="AY230" i="3"/>
  <c r="BH6" i="3"/>
  <c r="AY177" i="3"/>
  <c r="AY353" i="3"/>
  <c r="AY472" i="3"/>
  <c r="BM6" i="3"/>
  <c r="AY501" i="3"/>
  <c r="AY486" i="3"/>
  <c r="AY447" i="3"/>
  <c r="AY36" i="3"/>
  <c r="AY239" i="3"/>
  <c r="AY186" i="3"/>
  <c r="AY467" i="3"/>
  <c r="AY518" i="3"/>
  <c r="AY82" i="3"/>
  <c r="AY497" i="3"/>
  <c r="AY417" i="3"/>
  <c r="AY198" i="3"/>
  <c r="AY227" i="3"/>
  <c r="AY161" i="3"/>
  <c r="AY449" i="3"/>
  <c r="AY543" i="3"/>
  <c r="AY65" i="3"/>
  <c r="AY137" i="3"/>
  <c r="AY380" i="3"/>
  <c r="AY312" i="3"/>
  <c r="AY426" i="3"/>
  <c r="AY14" i="3"/>
  <c r="AY570" i="3"/>
  <c r="AY46" i="3"/>
  <c r="AY285" i="3"/>
  <c r="AY362" i="3"/>
  <c r="AY424" i="3"/>
  <c r="AY560" i="3"/>
  <c r="AY55" i="3"/>
  <c r="AY179" i="3"/>
  <c r="AY277" i="3"/>
  <c r="AY391" i="3"/>
  <c r="AY306" i="3"/>
  <c r="AY429" i="3"/>
  <c r="AY586" i="3"/>
  <c r="AY122" i="3"/>
  <c r="AY352" i="3"/>
  <c r="AY450" i="3"/>
  <c r="AY564" i="3"/>
  <c r="AY563"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D37" i="11"/>
  <c r="D14" i="12"/>
  <c r="D19" i="11"/>
  <c r="C19" i="11" s="1"/>
  <c r="L18" i="9"/>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AE6" i="1"/>
  <c r="F41" i="15"/>
  <c r="AG6" i="1" l="1"/>
  <c r="H6" i="3"/>
  <c r="AC6" i="3"/>
  <c r="F24" i="15"/>
  <c r="C24" i="15" s="1"/>
  <c r="AY566" i="3"/>
  <c r="AY240" i="3"/>
  <c r="AY107" i="3"/>
  <c r="AY359" i="3"/>
  <c r="AY62" i="3"/>
  <c r="AY538" i="3"/>
  <c r="AY320" i="3"/>
  <c r="AY153" i="3"/>
  <c r="AY432" i="3"/>
  <c r="AY136" i="3"/>
  <c r="AY13" i="3"/>
  <c r="AY233" i="3"/>
  <c r="AY548" i="3"/>
  <c r="AY492" i="3"/>
  <c r="AY142" i="3"/>
  <c r="AY416" i="3"/>
  <c r="AY224" i="3"/>
  <c r="AY184" i="3"/>
  <c r="AY517" i="3"/>
  <c r="AY376" i="3"/>
  <c r="AY78" i="3"/>
  <c r="AY499" i="3"/>
  <c r="AY328" i="3"/>
  <c r="AY169" i="3"/>
  <c r="AY552" i="3"/>
  <c r="AY181" i="3"/>
  <c r="AY20" i="3"/>
  <c r="AY455" i="3"/>
  <c r="AY527" i="3"/>
  <c r="AY40" i="3"/>
  <c r="AY53" i="3"/>
  <c r="AY334" i="3"/>
  <c r="BQ6" i="3"/>
  <c r="AY388" i="3"/>
  <c r="AY554" i="3"/>
  <c r="AY133" i="3"/>
  <c r="BE6" i="3"/>
  <c r="AY228" i="3"/>
  <c r="AY261" i="3"/>
  <c r="AY58" i="3"/>
  <c r="AY115" i="3"/>
  <c r="C48" i="15"/>
  <c r="C66" i="15" s="1"/>
  <c r="D3" i="33"/>
  <c r="D3" i="34"/>
  <c r="E6" i="6"/>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30" i="3"/>
  <c r="AY431" i="3"/>
  <c r="AY304" i="3"/>
  <c r="AY218" i="3"/>
  <c r="AY32" i="3"/>
  <c r="BC6" i="3"/>
  <c r="AY448" i="3"/>
  <c r="AY354" i="3"/>
  <c r="AY256" i="3"/>
  <c r="AY128" i="3"/>
  <c r="AY38" i="3"/>
  <c r="AY587" i="3"/>
  <c r="AY558" i="3"/>
  <c r="AY469" i="3"/>
  <c r="AY232" i="3"/>
  <c r="AY156" i="3"/>
  <c r="AY99" i="3"/>
  <c r="AY565" i="3"/>
  <c r="AY407" i="3"/>
  <c r="AY468" i="3"/>
  <c r="AY329" i="3"/>
  <c r="AY251" i="3"/>
  <c r="AY194" i="3"/>
  <c r="AY582" i="3"/>
  <c r="AY580" i="3"/>
  <c r="AY341" i="3"/>
  <c r="BB6" i="3"/>
  <c r="AY134" i="3"/>
  <c r="AY100" i="3"/>
  <c r="AY379" i="3"/>
  <c r="AY147" i="3"/>
  <c r="AY577" i="3"/>
  <c r="AY403" i="3"/>
  <c r="AY226" i="3"/>
  <c r="BS6" i="3"/>
  <c r="AY157" i="3"/>
  <c r="BO6" i="3"/>
  <c r="AY244" i="3"/>
  <c r="AY163" i="3"/>
  <c r="AY571" i="3"/>
  <c r="AY398" i="3"/>
  <c r="AY332" i="3"/>
  <c r="AY259" i="3"/>
  <c r="AY56" i="3"/>
  <c r="AY381" i="3"/>
  <c r="AY278" i="3"/>
  <c r="AY154" i="3"/>
  <c r="AY45" i="3"/>
  <c r="AY544" i="3"/>
  <c r="AY310" i="3"/>
  <c r="AY180" i="3"/>
  <c r="AY319" i="3"/>
  <c r="AY289" i="3"/>
  <c r="AY382" i="3"/>
  <c r="AY13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44" i="3"/>
  <c r="AY59" i="3"/>
  <c r="AY276" i="3"/>
  <c r="AY253" i="3"/>
  <c r="AY371" i="3"/>
  <c r="AY50" i="3"/>
  <c r="AY74" i="3"/>
  <c r="AY284" i="3"/>
  <c r="AY473" i="3"/>
  <c r="AY409" i="3"/>
  <c r="AY300" i="3"/>
  <c r="AY372" i="3"/>
  <c r="AY465" i="3"/>
  <c r="AY401" i="3"/>
  <c r="AY533" i="3"/>
  <c r="AY108" i="3"/>
  <c r="AY76" i="3"/>
  <c r="AY190" i="3"/>
  <c r="AY138" i="3"/>
  <c r="AY125" i="3"/>
  <c r="AY247" i="3"/>
  <c r="AY214" i="3"/>
  <c r="AY374" i="3"/>
  <c r="AY109" i="3"/>
  <c r="AY24" i="3"/>
  <c r="AY145" i="3"/>
  <c r="AY242" i="3"/>
  <c r="AY349" i="3"/>
  <c r="AY316" i="3"/>
  <c r="AY462" i="3"/>
  <c r="AY427"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34" i="3"/>
  <c r="AY155" i="3"/>
  <c r="AY188" i="3"/>
  <c r="AY111" i="3"/>
  <c r="AY268" i="3"/>
  <c r="AY335" i="3"/>
  <c r="AY196" i="3"/>
  <c r="AY183" i="3"/>
  <c r="AY209" i="3"/>
  <c r="AY470" i="3"/>
  <c r="AY529" i="3"/>
  <c r="AY260" i="3"/>
  <c r="AY358" i="3"/>
  <c r="AY463" i="3"/>
  <c r="AY549" i="3"/>
  <c r="AY541" i="3"/>
  <c r="AY92" i="3"/>
  <c r="AY44" i="3"/>
  <c r="AY201" i="3"/>
  <c r="AY165" i="3"/>
  <c r="AY283" i="3"/>
  <c r="AY231" i="3"/>
  <c r="AY219" i="3"/>
  <c r="AY360" i="3"/>
  <c r="AY104" i="3"/>
  <c r="AY202" i="3"/>
  <c r="AY295" i="3"/>
  <c r="AY210" i="3"/>
  <c r="AY333" i="3"/>
  <c r="AY475" i="3"/>
  <c r="AY446" i="3"/>
  <c r="AY411" i="3"/>
  <c r="AY534" i="3"/>
  <c r="AY510" i="3"/>
  <c r="AY18" i="3"/>
  <c r="AY387" i="3"/>
  <c r="AY526" i="3"/>
  <c r="AY355" i="3"/>
  <c r="AY562" i="3"/>
  <c r="AY85" i="3"/>
  <c r="AY182" i="3"/>
  <c r="AY302" i="3"/>
  <c r="AY211" i="3"/>
  <c r="AY93" i="3"/>
  <c r="AY279" i="3"/>
  <c r="AY325" i="3"/>
  <c r="AY454" i="3"/>
  <c r="BN6" i="3"/>
  <c r="AY532" i="3"/>
  <c r="AY112" i="3"/>
  <c r="AY31" i="3"/>
  <c r="AY489" i="3"/>
  <c r="AY116" i="3"/>
  <c r="AY478" i="3"/>
  <c r="AY540" i="3"/>
  <c r="AY84" i="3"/>
  <c r="AY173" i="3"/>
  <c r="AY255" i="3"/>
  <c r="AY373" i="3"/>
  <c r="AY29" i="3"/>
  <c r="AY258" i="3"/>
  <c r="AY324"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77" i="3"/>
  <c r="AY164" i="3"/>
  <c r="AY408" i="3"/>
  <c r="AY301" i="3"/>
  <c r="AY545" i="3"/>
  <c r="AY434" i="3"/>
  <c r="AY396" i="3"/>
  <c r="AY567" i="3"/>
  <c r="AY375" i="3"/>
  <c r="AY39" i="3"/>
  <c r="AY330" i="3"/>
  <c r="AY203" i="3"/>
  <c r="AY17" i="3"/>
  <c r="AY385" i="3"/>
  <c r="AY511" i="3"/>
  <c r="AY338" i="3"/>
  <c r="AY119" i="3"/>
  <c r="AY91" i="3"/>
  <c r="AY456" i="3"/>
  <c r="AY127" i="3"/>
  <c r="BR6" i="3"/>
  <c r="AY442" i="3"/>
  <c r="AY223" i="3"/>
  <c r="AY96" i="3"/>
  <c r="AY480" i="3"/>
  <c r="AY270" i="3"/>
  <c r="AY436" i="3"/>
  <c r="AY49" i="3"/>
  <c r="AY340" i="3"/>
  <c r="AY271" i="3"/>
  <c r="AY481" i="3"/>
  <c r="BG6" i="3"/>
  <c r="AY488" i="3"/>
  <c r="AY166" i="3"/>
  <c r="AY262" i="3"/>
  <c r="AY28" i="3"/>
  <c r="AY420" i="3"/>
  <c r="AY460" i="3"/>
  <c r="AY303" i="3"/>
  <c r="AY87" i="3"/>
  <c r="C17" i="4"/>
  <c r="B4" i="52" s="1"/>
  <c r="B43" i="72" s="1"/>
  <c r="M18" i="9"/>
  <c r="B118" i="9" s="1"/>
  <c r="B1" i="74" s="1"/>
  <c r="C8" i="74" s="1"/>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75" i="3"/>
  <c r="AY418" i="3"/>
  <c r="AY336" i="3"/>
  <c r="AY298" i="3"/>
  <c r="AY498" i="3"/>
  <c r="BD6" i="3"/>
  <c r="AY490" i="3"/>
  <c r="AY367" i="3"/>
  <c r="AY241" i="3"/>
  <c r="AY148" i="3"/>
  <c r="AY70" i="3"/>
  <c r="BL6" i="3"/>
  <c r="AY437" i="3"/>
  <c r="AY314" i="3"/>
  <c r="AY264" i="3"/>
  <c r="AY187" i="3"/>
  <c r="BA6" i="3"/>
  <c r="AY502" i="3"/>
  <c r="AY423" i="3"/>
  <c r="AY484" i="3"/>
  <c r="AY345" i="3"/>
  <c r="AY282" i="3"/>
  <c r="AY37" i="3"/>
  <c r="AY514" i="3"/>
  <c r="AY503" i="3"/>
  <c r="AY215" i="3"/>
  <c r="AY507" i="3"/>
  <c r="AY141" i="3"/>
  <c r="AY539" i="3"/>
  <c r="AY212" i="3"/>
  <c r="AY292" i="3"/>
  <c r="AY556" i="3"/>
  <c r="AY435" i="3"/>
  <c r="AY243" i="3"/>
  <c r="AY389" i="3"/>
  <c r="AY146" i="3"/>
  <c r="AY574" i="3"/>
  <c r="AY199" i="3"/>
  <c r="AY90" i="3"/>
  <c r="BF6" i="3"/>
  <c r="AY430" i="3"/>
  <c r="AY348" i="3"/>
  <c r="AY290" i="3"/>
  <c r="AY73" i="3"/>
  <c r="AY397" i="3"/>
  <c r="AY294" i="3"/>
  <c r="AY185" i="3"/>
  <c r="AY61" i="3"/>
  <c r="BK6" i="3"/>
  <c r="AY327" i="3"/>
  <c r="AY26" i="3"/>
  <c r="AY363" i="3"/>
  <c r="AY160" i="3"/>
  <c r="AY225" i="3"/>
  <c r="AY152" i="3"/>
  <c r="AY23" i="3"/>
  <c r="F24" i="67"/>
  <c r="C24" i="67" s="1"/>
  <c r="F22" i="69"/>
  <c r="F41" i="69" s="1"/>
  <c r="F22" i="68"/>
  <c r="F41" i="68" s="1"/>
  <c r="F25" i="12"/>
  <c r="C26" i="12" s="1"/>
  <c r="D25" i="12" s="1"/>
  <c r="E11" i="71"/>
  <c r="E10" i="71" s="1"/>
  <c r="E9" i="71" s="1"/>
  <c r="E8" i="71" s="1"/>
  <c r="E7" i="71" s="1"/>
  <c r="E6" i="71" s="1"/>
  <c r="E5" i="71" s="1"/>
  <c r="V12" i="71"/>
  <c r="C13" i="71"/>
  <c r="D14" i="71"/>
  <c r="D116" i="43"/>
  <c r="C7" i="74"/>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44" i="11"/>
  <c r="D41" i="11" s="1"/>
  <c r="C23" i="11"/>
  <c r="C24" i="11"/>
  <c r="C26" i="11"/>
  <c r="D22" i="11" s="1"/>
  <c r="C66" i="67"/>
  <c r="C60" i="67"/>
  <c r="D10" i="69"/>
  <c r="C34" i="69"/>
  <c r="D10" i="68"/>
  <c r="C17" i="15"/>
  <c r="C14" i="67"/>
  <c r="M27" i="67"/>
  <c r="C17" i="67"/>
  <c r="M27" i="15"/>
  <c r="B10" i="74" l="1"/>
  <c r="H22" i="6"/>
  <c r="E6" i="3"/>
  <c r="C26" i="69"/>
  <c r="D22" i="69" s="1"/>
  <c r="H24" i="6"/>
  <c r="R24" i="6" s="1"/>
  <c r="R11" i="1" s="1"/>
  <c r="C60" i="15"/>
  <c r="H21" i="6"/>
  <c r="H25" i="6"/>
  <c r="R25" i="6" s="1"/>
  <c r="R12" i="1" s="1"/>
  <c r="C25" i="11"/>
  <c r="C22" i="11" s="1"/>
  <c r="C31" i="11" s="1"/>
  <c r="C44" i="69"/>
  <c r="D41" i="69" s="1"/>
  <c r="C26" i="68"/>
  <c r="D22" i="68" s="1"/>
  <c r="C44" i="68"/>
  <c r="D41" i="68" s="1"/>
  <c r="C12" i="71"/>
  <c r="D13"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D19" i="69"/>
  <c r="F50" i="69"/>
  <c r="F50" i="11"/>
  <c r="F50" i="68"/>
  <c r="C4" i="52"/>
  <c r="B45" i="72" s="1"/>
  <c r="A10" i="51"/>
  <c r="B9" i="72" s="1"/>
  <c r="A7" i="51"/>
  <c r="B7" i="72" s="1"/>
  <c r="C10" i="68"/>
  <c r="B29" i="1" s="1"/>
  <c r="D19" i="68"/>
  <c r="H69" i="39"/>
  <c r="I67" i="39"/>
  <c r="G65" i="40"/>
  <c r="H63" i="40"/>
  <c r="C43" i="37"/>
  <c r="C42" i="37"/>
  <c r="I48" i="35"/>
  <c r="C48" i="33"/>
  <c r="C49" i="33"/>
  <c r="H58" i="21"/>
  <c r="E47" i="37"/>
  <c r="F47" i="37" s="1"/>
  <c r="E46" i="37"/>
  <c r="F46" i="37" s="1"/>
  <c r="I47" i="37"/>
  <c r="J47" i="37" s="1"/>
  <c r="E53" i="33"/>
  <c r="F53" i="33" s="1"/>
  <c r="E52" i="33"/>
  <c r="F52" i="33" s="1"/>
  <c r="C33" i="67"/>
  <c r="J19" i="67"/>
  <c r="C34" i="68"/>
  <c r="E6" i="76"/>
  <c r="C14" i="15"/>
  <c r="B6" i="76"/>
  <c r="B3" i="43" l="1"/>
  <c r="C6" i="68"/>
  <c r="C7" i="68" s="1"/>
  <c r="C8" i="69"/>
  <c r="C5" i="69" s="1"/>
  <c r="C23" i="69"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7" i="21"/>
  <c r="J48" i="35"/>
  <c r="C8" i="68" l="1"/>
  <c r="C5" i="68" s="1"/>
  <c r="C23" i="68" s="1"/>
  <c r="C18" i="12"/>
  <c r="C21" i="12" s="1"/>
  <c r="C22" i="12" s="1"/>
  <c r="F7" i="21"/>
  <c r="S7" i="21" s="1"/>
  <c r="D11" i="71"/>
  <c r="C10"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AA7" i="21"/>
  <c r="R48" i="21" s="1"/>
  <c r="J63" i="40"/>
  <c r="I65" i="40"/>
  <c r="K48" i="35"/>
  <c r="L48" i="35" s="1"/>
  <c r="M48" i="35" s="1"/>
  <c r="N48" i="35" s="1"/>
  <c r="O48" i="35" s="1"/>
  <c r="H7" i="35" s="1"/>
  <c r="J7" i="35"/>
  <c r="AC7" i="21"/>
  <c r="V48" i="21" s="1"/>
  <c r="I48" i="21" s="1"/>
  <c r="W7" i="21"/>
  <c r="C20" i="68" l="1"/>
  <c r="C28" i="68" s="1"/>
  <c r="C27" i="68" s="1"/>
  <c r="C27" i="12"/>
  <c r="C25" i="12" s="1"/>
  <c r="C30" i="12"/>
  <c r="C28" i="12" s="1"/>
  <c r="D10" i="71"/>
  <c r="C9" i="71"/>
  <c r="Q49" i="67"/>
  <c r="J14" i="67"/>
  <c r="J13" i="67" s="1"/>
  <c r="J23" i="67" s="1"/>
  <c r="C36" i="67"/>
  <c r="C57" i="67"/>
  <c r="C64" i="67" s="1"/>
  <c r="C13" i="67"/>
  <c r="Q70" i="67" s="1"/>
  <c r="C33" i="11"/>
  <c r="C39" i="11" s="1"/>
  <c r="C61" i="67"/>
  <c r="C42" i="68"/>
  <c r="C23" i="15"/>
  <c r="C29" i="15" s="1"/>
  <c r="C33"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C25" i="68" l="1"/>
  <c r="C22" i="68" s="1"/>
  <c r="C31" i="68" s="1"/>
  <c r="C32" i="12"/>
  <c r="B2" i="12" s="1"/>
  <c r="B3" i="12" s="1"/>
  <c r="C8" i="71"/>
  <c r="D9" i="71"/>
  <c r="C56" i="67"/>
  <c r="C65" i="67" s="1"/>
  <c r="J22" i="67"/>
  <c r="C37" i="67"/>
  <c r="C75" i="67"/>
  <c r="C36" i="15"/>
  <c r="J59" i="15"/>
  <c r="J60" i="15" s="1"/>
  <c r="Q48" i="15" s="1"/>
  <c r="C46" i="11"/>
  <c r="C45" i="11" s="1"/>
  <c r="C43" i="11"/>
  <c r="C42" i="11"/>
  <c r="C34" i="67"/>
  <c r="F63" i="67"/>
  <c r="C62" i="67" s="1"/>
  <c r="C59" i="67" s="1"/>
  <c r="J20" i="67"/>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J16" i="15" s="1"/>
  <c r="C61" i="15"/>
  <c r="C59" i="15" s="1"/>
  <c r="C64" i="15"/>
  <c r="C37" i="15"/>
  <c r="C30" i="15" s="1"/>
  <c r="C56" i="15"/>
  <c r="C65" i="15" s="1"/>
  <c r="C75" i="15"/>
  <c r="C57" i="69"/>
  <c r="C56" i="69" s="1"/>
  <c r="M69" i="39"/>
  <c r="N67" i="39"/>
  <c r="R39" i="35"/>
  <c r="E38" i="35"/>
  <c r="M63" i="40"/>
  <c r="L65" i="40"/>
  <c r="L51" i="67"/>
  <c r="D2" i="21"/>
  <c r="B3" i="68" l="1"/>
  <c r="C57" i="68"/>
  <c r="C56" i="68" s="1"/>
  <c r="D7" i="71"/>
  <c r="C6" i="71"/>
  <c r="L57" i="67"/>
  <c r="L60" i="67" s="1"/>
  <c r="L46" i="67" s="1"/>
  <c r="Q67" i="67"/>
  <c r="C80" i="67"/>
  <c r="C79" i="67" s="1"/>
  <c r="C40" i="67"/>
  <c r="C45" i="67" s="1"/>
  <c r="C56" i="11"/>
  <c r="C57" i="11" s="1"/>
  <c r="B2" i="21"/>
  <c r="B3" i="21" s="1"/>
  <c r="J25" i="15"/>
  <c r="J26" i="15" s="1"/>
  <c r="J29" i="15" s="1"/>
  <c r="C58" i="15"/>
  <c r="C67" i="15" s="1"/>
  <c r="C68" i="15" s="1"/>
  <c r="C71" i="15" s="1"/>
  <c r="C39" i="15"/>
  <c r="Q69" i="15" s="1"/>
  <c r="Q68" i="15" s="1"/>
  <c r="O67" i="39"/>
  <c r="O69" i="39" s="1"/>
  <c r="N69" i="39"/>
  <c r="F7" i="39"/>
  <c r="C39" i="35"/>
  <c r="C38" i="35"/>
  <c r="N63" i="40"/>
  <c r="M65" i="40"/>
  <c r="E43" i="35"/>
  <c r="F43" i="35" s="1"/>
  <c r="E42" i="35"/>
  <c r="F42" i="35" s="1"/>
  <c r="I43" i="35"/>
  <c r="J43" i="35" s="1"/>
  <c r="D2" i="33"/>
  <c r="D35" i="9"/>
  <c r="D34" i="9"/>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7"/>
  <c r="L51" i="15"/>
  <c r="D2" i="35"/>
  <c r="D2" i="36"/>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9" i="1"/>
  <c r="AO12" i="1"/>
  <c r="AO8" i="1"/>
  <c r="AO10"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19" i="9"/>
  <c r="C102" i="9" l="1"/>
  <c r="C21" i="9"/>
  <c r="B3" i="15"/>
  <c r="D102" i="9"/>
  <c r="D21" i="9"/>
  <c r="G19" i="9"/>
  <c r="G21" i="9" s="1"/>
  <c r="D22"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D20" i="9"/>
  <c r="D103" i="9" l="1"/>
  <c r="C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6" i="74" l="1"/>
  <c r="F118" i="9"/>
  <c r="F119" i="9" s="1"/>
  <c r="F5" i="52" s="1"/>
  <c r="B53" i="72" s="1"/>
  <c r="D118" i="9"/>
  <c r="D4" i="52" s="1"/>
  <c r="B47" i="72" s="1"/>
  <c r="H118" i="9"/>
  <c r="C104" i="9" l="1"/>
  <c r="D14" i="74"/>
  <c r="H101" i="9"/>
  <c r="M48" i="9" s="1"/>
  <c r="D119" i="9"/>
  <c r="D5" i="52" s="1"/>
  <c r="B49" i="72" s="1"/>
  <c r="G118" i="9"/>
  <c r="G4" i="52" s="1"/>
  <c r="B52" i="72" s="1"/>
  <c r="H4" i="52"/>
  <c r="I118" i="9"/>
  <c r="H119" i="9"/>
  <c r="H5" i="52" s="1"/>
  <c r="F4" i="52"/>
  <c r="B51" i="72" s="1"/>
  <c r="E14" i="74" l="1"/>
  <c r="B5" i="74"/>
  <c r="F14" i="74"/>
  <c r="D5" i="53"/>
  <c r="B20" i="72" s="1"/>
  <c r="H107" i="9"/>
  <c r="H108" i="9" s="1"/>
  <c r="D15" i="53" s="1"/>
  <c r="B31" i="72" s="1"/>
  <c r="D45" i="9"/>
  <c r="D53" i="9" s="1"/>
  <c r="C105" i="9"/>
  <c r="H102" i="9"/>
  <c r="D7" i="53" s="1"/>
  <c r="B21" i="72" s="1"/>
  <c r="I4" i="52"/>
  <c r="E118" i="9"/>
  <c r="E4" i="52" s="1"/>
  <c r="B48" i="72" s="1"/>
  <c r="D5" i="74" l="1"/>
  <c r="C5" i="74"/>
  <c r="M49" i="9"/>
  <c r="L63" i="9" s="1"/>
  <c r="M63" i="9" s="1"/>
  <c r="D6" i="53"/>
  <c r="B22" i="72" s="1"/>
  <c r="D122" i="9"/>
  <c r="D8" i="52" s="1"/>
  <c r="C85" i="9"/>
  <c r="C93" i="9"/>
  <c r="C86" i="9" s="1"/>
  <c r="D13" i="53"/>
  <c r="D14" i="53" s="1"/>
  <c r="B32" i="72" s="1"/>
  <c r="D52" i="9"/>
  <c r="C64" i="9"/>
  <c r="C63" i="9" s="1"/>
  <c r="C67" i="9" s="1"/>
  <c r="D59" i="9" s="1"/>
  <c r="M55" i="9" s="1"/>
  <c r="C78" i="9"/>
  <c r="C73" i="9" s="1"/>
  <c r="D55" i="9"/>
  <c r="M53" i="9" s="1"/>
  <c r="C72" i="9"/>
  <c r="D123" i="9" l="1"/>
  <c r="D9" i="52" s="1"/>
  <c r="L65" i="9"/>
  <c r="M65" i="9" s="1"/>
  <c r="L64" i="9"/>
  <c r="M64" i="9" s="1"/>
  <c r="L66" i="9"/>
  <c r="M66" i="9" s="1"/>
  <c r="L68" i="9"/>
  <c r="M68" i="9" s="1"/>
  <c r="L67" i="9"/>
  <c r="M67" i="9" s="1"/>
  <c r="C68" i="9"/>
  <c r="D54" i="9" s="1"/>
  <c r="C95" i="9"/>
  <c r="C96" i="9" s="1"/>
  <c r="E96" i="9" s="1"/>
  <c r="E97" i="9" s="1"/>
  <c r="C79" i="9"/>
  <c r="C80" i="9" s="1"/>
  <c r="E80" i="9" s="1"/>
  <c r="E81" i="9" s="1"/>
  <c r="B30" i="72"/>
  <c r="M69" i="9" l="1"/>
  <c r="N69" i="9" s="1"/>
  <c r="C97" i="9"/>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<sst xmlns="http://schemas.openxmlformats.org/spreadsheetml/2006/main" count="7811" uniqueCount="3410">
  <si>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</si>
  <si>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</si>
  <si>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</si>
  <si>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</si>
  <si>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</si>
  <si>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</si>
  <si>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</si>
  <si>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</si>
  <si>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</si>
  <si>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</si>
  <si>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</si>
  <si>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</si>
  <si>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</si>
  <si>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</si>
  <si>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</si>
  <si>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</si>
  <si>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</si>
  <si>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</si>
  <si>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</si>
  <si>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</si>
  <si>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</si>
  <si>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</si>
  <si>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</si>
  <si>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</si>
  <si>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</si>
  <si>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</si>
  <si>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</si>
  <si>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</si>
  <si>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</si>
  <si>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</si>
  <si>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</si>
  <si>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</si>
  <si>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</si>
  <si>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</si>
  <si>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</si>
  <si>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</si>
  <si>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</si>
  <si>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</si>
  <si>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</si>
  <si>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</si>
  <si>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</si>
  <si>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</si>
  <si>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</si>
  <si>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</si>
  <si>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</si>
  <si>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</si>
  <si>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</si>
  <si>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</si>
  <si>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</si>
  <si>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</si>
  <si>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</si>
  <si>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</si>
  <si>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</si>
  <si>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</si>
  <si>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</si>
  <si>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</si>
  <si>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</si>
  <si>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</si>
  <si>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</si>
  <si>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</si>
  <si>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</si>
  <si>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</si>
  <si>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</si>
  <si>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</si>
  <si>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</si>
  <si>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</si>
  <si>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</si>
  <si>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</si>
  <si>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</si>
  <si>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</si>
  <si>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</si>
  <si>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</si>
  <si>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</si>
  <si>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</si>
  <si>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</si>
  <si>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</si>
  <si>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</si>
  <si>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</si>
  <si>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</si>
  <si>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</si>
  <si>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</si>
  <si>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</si>
  <si>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</si>
  <si>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</si>
  <si>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</si>
  <si>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</si>
  <si>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</si>
  <si>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</si>
  <si>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</si>
  <si>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</si>
  <si>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</si>
  <si>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</si>
  <si>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</si>
  <si>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</si>
  <si>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</si>
  <si>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</si>
  <si>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</si>
  <si>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</si>
  <si>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</si>
  <si>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</si>
  <si>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</si>
  <si>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</si>
  <si>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</si>
  <si>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</si>
  <si>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</si>
  <si>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</si>
  <si>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</si>
  <si>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</si>
  <si>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</si>
  <si>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</si>
  <si>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</si>
  <si>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</si>
  <si>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</si>
  <si>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</si>
  <si>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</si>
  <si>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</si>
  <si>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</si>
  <si>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</si>
  <si>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</si>
  <si>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</si>
  <si>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</si>
  <si>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</si>
  <si>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</si>
  <si>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</si>
  <si>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</si>
  <si>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</si>
  <si>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</si>
  <si>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</si>
  <si>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</si>
  <si>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</si>
  <si>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</si>
  <si>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</si>
  <si>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</si>
  <si>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</si>
  <si>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</si>
  <si>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</si>
  <si>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</si>
  <si>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</si>
  <si>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</si>
  <si>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</si>
  <si>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</si>
  <si>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</si>
  <si>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</si>
  <si>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</si>
  <si>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</si>
  <si>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</si>
  <si>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</si>
  <si>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</si>
  <si>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</si>
  <si>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</si>
  <si>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</si>
  <si>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</si>
  <si>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</si>
  <si>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</si>
  <si>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</si>
  <si>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</si>
  <si>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</si>
  <si>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</si>
  <si>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</si>
  <si>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</si>
  <si>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</si>
  <si>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</si>
  <si>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</si>
  <si>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</si>
  <si>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</si>
  <si>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</si>
  <si>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</si>
  <si>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</si>
  <si>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</si>
  <si>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</si>
  <si>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</si>
  <si>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</si>
  <si>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</si>
  <si>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</si>
  <si>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</si>
  <si>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</si>
  <si>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</si>
  <si>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</si>
  <si>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</si>
  <si>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</si>
  <si>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</si>
  <si>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</si>
  <si>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</si>
  <si>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</si>
  <si>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</si>
  <si>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</si>
  <si>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</si>
  <si>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</si>
  <si>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</si>
  <si>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</si>
  <si>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</si>
  <si>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</si>
  <si>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</si>
  <si>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</si>
  <si>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</si>
  <si>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</si>
  <si>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</si>
  <si>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</si>
  <si>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</si>
  <si>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</si>
  <si>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</si>
  <si>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</si>
  <si>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</si>
  <si>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</si>
  <si>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</si>
  <si>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</si>
  <si>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</si>
  <si>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</si>
  <si>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</si>
  <si>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</si>
  <si>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</si>
  <si>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</si>
  <si>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</si>
  <si>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</si>
  <si>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</si>
  <si>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</si>
  <si>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</si>
  <si>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</si>
  <si>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</si>
  <si>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</si>
  <si>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</si>
  <si>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</si>
  <si>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</si>
  <si>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</si>
  <si>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</si>
  <si>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</si>
  <si>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</si>
  <si>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</si>
  <si>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</si>
  <si>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</si>
  <si>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</si>
  <si>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</si>
  <si>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</si>
  <si>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</si>
  <si>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</si>
  <si>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</si>
  <si>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</si>
  <si>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</si>
  <si>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</si>
  <si>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</si>
  <si>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</si>
  <si>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</si>
  <si>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</si>
  <si>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</si>
  <si>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</si>
  <si>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</si>
  <si>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</si>
  <si>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</si>
  <si>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</si>
  <si>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</si>
  <si>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</si>
  <si>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</si>
  <si>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</si>
  <si>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</si>
  <si>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</si>
  <si>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</si>
  <si>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</si>
  <si>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</si>
  <si>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</si>
  <si>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</si>
  <si>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</si>
  <si>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</si>
  <si>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</si>
  <si>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</si>
  <si>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</si>
  <si>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</si>
  <si>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</si>
  <si>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</si>
  <si>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</si>
  <si>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</si>
  <si>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</si>
  <si>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</si>
  <si>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</si>
  <si>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</si>
  <si>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</si>
  <si>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</si>
  <si>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</si>
  <si>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</si>
  <si>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</si>
  <si>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</si>
  <si>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</si>
  <si>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</si>
  <si>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</si>
  <si>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</si>
  <si>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</si>
  <si>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</si>
  <si>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</si>
  <si>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</si>
  <si>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</si>
  <si>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</si>
  <si>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</si>
  <si>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</si>
  <si>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</si>
  <si>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</si>
  <si>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</si>
  <si>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</si>
  <si>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</si>
  <si>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</si>
  <si>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</si>
  <si>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</si>
  <si>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</si>
  <si>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</si>
  <si>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</si>
  <si>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</si>
  <si>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</si>
  <si>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</si>
  <si>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</si>
  <si>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</si>
  <si>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</si>
  <si>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</si>
  <si>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</si>
  <si>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</si>
  <si>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</si>
  <si>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</si>
  <si>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</si>
  <si>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</si>
  <si>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</si>
  <si>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</si>
  <si>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</si>
  <si>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</si>
  <si>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</si>
  <si>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</si>
  <si>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</si>
  <si>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</si>
  <si>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</si>
  <si>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</si>
  <si>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</si>
  <si>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</si>
  <si>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</si>
  <si>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</si>
  <si>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</si>
  <si>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</si>
  <si>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</si>
  <si>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</si>
  <si>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</si>
  <si>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</si>
  <si>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</si>
  <si>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</si>
  <si>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</si>
  <si>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</si>
  <si>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</si>
  <si>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</si>
  <si>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</si>
  <si>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</si>
  <si>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</si>
  <si>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</si>
  <si>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</si>
  <si>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</si>
  <si>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</si>
  <si>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</si>
  <si>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</si>
  <si>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</si>
  <si>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</si>
  <si>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</si>
  <si>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</si>
  <si>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</si>
  <si>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</si>
  <si>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</si>
  <si>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</si>
  <si>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</si>
  <si>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</si>
  <si>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</si>
  <si>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</si>
  <si>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</si>
  <si>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</si>
  <si>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</si>
  <si>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</si>
  <si>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</si>
  <si>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</si>
  <si>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</si>
  <si>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</si>
  <si>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</si>
  <si>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</si>
  <si>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</si>
  <si>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</si>
  <si>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</si>
  <si>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</si>
  <si>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</si>
  <si>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</si>
  <si>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</si>
  <si>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</si>
  <si>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</si>
  <si>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</si>
  <si>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</si>
  <si>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</si>
  <si>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</si>
  <si>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</si>
  <si>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</si>
  <si>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</si>
  <si>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</si>
  <si>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</si>
  <si>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</si>
  <si>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</si>
  <si>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</si>
  <si>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</si>
  <si>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</si>
  <si>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</si>
  <si>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</si>
  <si>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</si>
  <si>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</si>
  <si>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</si>
  <si>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</si>
  <si>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</si>
  <si>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</si>
  <si>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</si>
  <si>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</si>
  <si>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</si>
  <si>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</si>
  <si>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</si>
  <si>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</si>
  <si>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</si>
  <si>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</si>
  <si>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</si>
  <si>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</si>
  <si>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</si>
  <si>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</si>
  <si>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</si>
  <si>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</si>
  <si>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</si>
  <si>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</si>
  <si>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</si>
  <si>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</si>
  <si>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</si>
  <si>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</si>
  <si>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</si>
  <si>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</si>
  <si>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</si>
  <si>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</si>
  <si>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</si>
  <si>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</si>
  <si>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</si>
  <si>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</si>
  <si>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</si>
  <si>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</si>
  <si>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</si>
  <si>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</si>
  <si>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</si>
  <si>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</si>
  <si>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</si>
  <si>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</si>
  <si>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</si>
  <si>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</si>
  <si>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</si>
  <si>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</si>
  <si>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</si>
  <si>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</si>
  <si>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</si>
  <si>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</si>
  <si>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</si>
  <si>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</si>
  <si>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</si>
  <si>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</si>
  <si>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</si>
  <si>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</si>
  <si>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</si>
  <si>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</si>
  <si>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</si>
  <si>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</si>
  <si>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</si>
  <si>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</si>
  <si>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</si>
  <si>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</si>
  <si>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</si>
  <si>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</si>
  <si>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</si>
  <si>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</si>
  <si>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</si>
  <si>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</si>
  <si>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</si>
  <si>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</si>
  <si>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</si>
  <si>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</si>
  <si>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</si>
  <si>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</si>
  <si>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</si>
  <si>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</si>
  <si>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</si>
  <si>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</si>
  <si>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</si>
  <si>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</si>
  <si>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</si>
  <si>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</si>
  <si>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</si>
  <si>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</si>
  <si>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</si>
  <si>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</si>
  <si>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</si>
  <si>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</si>
  <si>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</si>
  <si>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</si>
  <si>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</si>
  <si>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</si>
  <si>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</si>
  <si>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</si>
  <si>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</si>
  <si>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</si>
  <si>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</si>
  <si>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</si>
  <si>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</si>
  <si>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</si>
  <si>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</si>
  <si>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</si>
  <si>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</si>
  <si>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</si>
  <si>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</si>
  <si>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</si>
  <si>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</si>
  <si>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</si>
  <si>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</si>
  <si>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</si>
  <si>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</si>
  <si>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</si>
  <si>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</si>
  <si>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</si>
  <si>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</si>
  <si>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</si>
  <si>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</si>
  <si>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</si>
  <si>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</si>
  <si>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</si>
  <si>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</si>
  <si>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</si>
  <si>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</si>
  <si>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</si>
  <si>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</si>
  <si>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</si>
  <si>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</si>
  <si>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</si>
  <si>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</si>
  <si>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</si>
  <si>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</si>
  <si>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</si>
  <si>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</si>
  <si>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</si>
  <si>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</si>
  <si>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</si>
  <si>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</si>
  <si>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</si>
  <si>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</si>
  <si>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</si>
  <si>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</si>
  <si>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</si>
  <si>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</si>
  <si>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</si>
  <si>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</si>
  <si>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</si>
  <si>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</si>
  <si>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</si>
  <si>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</si>
  <si>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</si>
  <si>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</si>
  <si>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</si>
  <si>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</si>
  <si>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</si>
  <si>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</si>
  <si>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</si>
  <si>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</si>
  <si>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</si>
  <si>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</si>
  <si>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</si>
  <si>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</si>
  <si>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</si>
  <si>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</si>
  <si>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</si>
  <si>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</si>
  <si>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</si>
  <si>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</si>
  <si>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</si>
  <si>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</si>
  <si>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</si>
  <si>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</si>
  <si>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</si>
  <si>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</si>
  <si>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</si>
  <si>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</si>
  <si>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</si>
  <si>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</si>
  <si>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</si>
  <si>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</si>
  <si>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</si>
  <si>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</si>
  <si>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</si>
  <si>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</si>
  <si>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</si>
  <si>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</si>
  <si>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</si>
  <si>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</si>
  <si>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</si>
  <si>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</si>
  <si>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</si>
  <si>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</si>
  <si>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</si>
  <si>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</si>
  <si>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</si>
  <si>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</si>
  <si>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</si>
  <si>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</si>
  <si>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</si>
  <si>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</si>
  <si>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</si>
  <si>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</si>
  <si>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</si>
  <si>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</si>
  <si>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</si>
  <si>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</si>
  <si>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</si>
  <si>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</si>
  <si>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</si>
  <si>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</si>
  <si>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</si>
  <si>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</si>
  <si>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</si>
  <si>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</si>
  <si>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</si>
  <si>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</si>
  <si>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</si>
  <si>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</si>
  <si>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</si>
  <si>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</si>
  <si>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</si>
  <si>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</si>
  <si>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</si>
  <si>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</si>
  <si>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</si>
  <si>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</si>
  <si>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</si>
  <si>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</si>
  <si>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</si>
  <si>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</si>
  <si>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</si>
  <si>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</si>
  <si>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</si>
  <si>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</si>
  <si>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</si>
  <si>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</si>
  <si>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</si>
  <si>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</si>
  <si>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</si>
  <si>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</si>
  <si>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</si>
  <si>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</si>
  <si>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</si>
  <si>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</si>
  <si>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</si>
  <si>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</si>
  <si>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</si>
  <si>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</si>
  <si>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</si>
  <si>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</si>
  <si>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</si>
  <si>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</si>
  <si>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</si>
  <si>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</si>
  <si>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</si>
  <si>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</si>
  <si>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</si>
  <si>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</si>
  <si>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</si>
  <si>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</si>
  <si>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</si>
  <si>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</si>
  <si>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</si>
  <si>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</si>
  <si>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</si>
  <si>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</si>
  <si>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</si>
  <si>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</si>
  <si>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</si>
  <si>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</si>
  <si>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</si>
  <si>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</si>
  <si>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</si>
  <si>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</si>
  <si>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</si>
  <si>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</si>
  <si>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</si>
  <si>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</si>
  <si>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</si>
  <si>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</si>
  <si>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</si>
  <si>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</si>
  <si>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</si>
  <si>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</si>
  <si>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</si>
  <si>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</si>
  <si>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</si>
  <si>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</si>
  <si>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</si>
  <si>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</si>
  <si>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</si>
  <si>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</si>
  <si>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</si>
  <si>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</si>
  <si>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</si>
  <si>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</si>
  <si>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</si>
  <si>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</si>
  <si>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</si>
  <si>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</si>
  <si>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</si>
  <si>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</si>
  <si>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</si>
  <si>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</si>
  <si>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</si>
  <si>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</si>
  <si>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</si>
  <si>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</si>
  <si>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</si>
  <si>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</si>
  <si>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</si>
  <si>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</si>
  <si>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</si>
  <si>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</si>
  <si>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</si>
  <si>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</si>
  <si>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</si>
  <si>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</si>
  <si>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</si>
  <si>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</si>
  <si>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</si>
  <si>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</si>
  <si>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</si>
  <si>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</si>
  <si>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</si>
  <si>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</si>
  <si>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</si>
  <si>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</si>
  <si>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</si>
  <si>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</si>
  <si>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</si>
  <si>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</si>
  <si>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</si>
  <si>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</si>
  <si>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</si>
  <si>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</si>
  <si>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</si>
  <si>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</si>
  <si>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</si>
  <si>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</si>
  <si>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</si>
  <si>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</si>
  <si>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</si>
  <si>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</si>
  <si>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</si>
  <si>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</si>
  <si>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</si>
  <si>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</si>
  <si>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</si>
  <si>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</si>
  <si>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</si>
  <si>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</si>
  <si>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</si>
  <si>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</si>
  <si>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</si>
  <si>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</si>
  <si>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</si>
  <si>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</si>
  <si>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</si>
  <si>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</si>
  <si>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</si>
  <si>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</si>
  <si>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</si>
  <si>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</si>
  <si>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</si>
  <si>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</si>
  <si>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</si>
  <si>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</si>
  <si>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</si>
  <si>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</si>
  <si>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</si>
  <si>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</si>
  <si>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</si>
  <si>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</si>
  <si>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</si>
  <si>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</si>
  <si>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</si>
  <si>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</si>
  <si>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</si>
  <si>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</si>
  <si>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</si>
  <si>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</si>
  <si>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</si>
  <si>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</si>
  <si>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</si>
  <si>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</si>
  <si>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</si>
  <si>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</si>
  <si>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</si>
  <si>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</si>
  <si>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</si>
  <si>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</si>
  <si>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</si>
  <si>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</si>
  <si>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</si>
  <si>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</si>
  <si>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</si>
  <si>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</si>
  <si>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</si>
  <si>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</si>
  <si>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</si>
  <si>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</si>
  <si>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</si>
  <si>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</si>
  <si>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</si>
  <si>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</si>
  <si>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</si>
  <si>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</si>
  <si>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</si>
  <si>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</si>
  <si>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</si>
  <si>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</si>
  <si>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</si>
  <si>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</si>
  <si>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</si>
  <si>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</si>
  <si>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</si>
  <si>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</si>
  <si>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</si>
  <si>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</si>
  <si>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</si>
  <si>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</si>
  <si>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</si>
  <si>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</si>
  <si>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</si>
  <si>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</si>
  <si>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</si>
  <si>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</si>
  <si>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</si>
  <si>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</si>
  <si>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</si>
  <si>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</si>
  <si>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</si>
  <si>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</si>
  <si>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</si>
  <si>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</si>
  <si>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</si>
  <si>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</si>
  <si>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</si>
  <si>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</si>
  <si>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</si>
  <si>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</si>
  <si>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</si>
  <si>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</si>
  <si>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</si>
  <si>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</si>
  <si>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</si>
  <si>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</si>
  <si>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</si>
  <si>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</si>
  <si>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</si>
  <si>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</si>
  <si>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</si>
  <si>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</si>
  <si>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</si>
  <si>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</si>
  <si>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</si>
  <si>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</si>
  <si>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</si>
  <si>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</si>
  <si>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</si>
  <si>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</si>
  <si>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</si>
  <si>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</si>
  <si>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</si>
  <si>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</si>
  <si>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</si>
  <si>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</si>
  <si>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</si>
  <si>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</si>
  <si>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</si>
  <si>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</si>
  <si>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</si>
  <si>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</si>
  <si>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</si>
  <si>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</si>
  <si>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</si>
  <si>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</si>
  <si>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</si>
  <si>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</si>
  <si>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</si>
  <si>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</si>
  <si>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</si>
  <si>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</si>
  <si>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</si>
  <si>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</si>
  <si>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</si>
  <si>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</si>
  <si>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</si>
  <si>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</si>
  <si>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</si>
  <si>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</si>
  <si>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</si>
  <si>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</si>
  <si>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</si>
  <si>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</si>
  <si>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</si>
  <si>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</si>
  <si>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</si>
  <si>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</si>
  <si>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</si>
  <si>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</si>
  <si>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</si>
  <si>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</si>
  <si>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</si>
  <si>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</si>
  <si>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</si>
  <si>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</si>
  <si>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</si>
  <si>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</si>
  <si>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</si>
  <si>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</si>
  <si>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</si>
  <si>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</si>
  <si>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</si>
  <si>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</si>
  <si>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</si>
  <si>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</si>
  <si>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</si>
  <si>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</si>
  <si>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</si>
  <si>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</si>
  <si>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</si>
  <si>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</si>
  <si>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</si>
  <si>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</si>
  <si>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</si>
  <si>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</si>
  <si>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</si>
  <si>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</si>
  <si>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</si>
  <si>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</si>
  <si>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</si>
  <si>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</si>
  <si>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</si>
  <si>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</si>
  <si>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</si>
  <si>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</si>
  <si>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</si>
  <si>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</si>
  <si>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</si>
  <si>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</si>
  <si>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</si>
  <si>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</si>
  <si>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</si>
  <si>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</si>
  <si>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</si>
  <si>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</si>
  <si>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</si>
  <si>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</si>
  <si>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</si>
  <si>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</si>
  <si>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</si>
  <si>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</si>
  <si>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</si>
  <si>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</si>
  <si>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</si>
  <si>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</si>
  <si>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</si>
  <si>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</si>
  <si>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</si>
  <si>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</si>
  <si>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</si>
  <si>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</si>
  <si>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</si>
  <si>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</si>
  <si>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</si>
  <si>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</si>
  <si>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</si>
  <si>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</si>
  <si>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</si>
  <si>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</si>
  <si>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</si>
  <si>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</si>
  <si>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</si>
  <si>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</si>
  <si>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</si>
  <si>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</si>
  <si>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</si>
  <si>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</si>
  <si>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</si>
  <si>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</si>
  <si>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</si>
  <si>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</si>
  <si>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</si>
  <si>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</si>
  <si>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</si>
  <si>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</si>
  <si>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</si>
  <si>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</si>
  <si>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</si>
  <si>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</si>
  <si>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</si>
  <si>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</si>
  <si>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</si>
  <si>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</si>
  <si>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</si>
  <si>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</si>
  <si>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</si>
  <si>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</si>
  <si>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</si>
  <si>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</si>
  <si>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</si>
  <si>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</si>
  <si>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</si>
  <si>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</si>
  <si>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</si>
  <si>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</si>
  <si>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</si>
  <si>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</si>
  <si>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</si>
  <si>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</si>
  <si>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</si>
  <si>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</si>
  <si>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</si>
  <si>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</si>
  <si>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</si>
  <si>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</si>
  <si>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</si>
  <si>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</si>
  <si>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</si>
  <si>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</si>
  <si>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</si>
  <si>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</si>
  <si>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</si>
  <si>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</si>
  <si>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</si>
  <si>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</si>
  <si>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</si>
  <si>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</si>
  <si>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</si>
  <si>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</si>
  <si>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</si>
  <si>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</si>
  <si>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</si>
  <si>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</si>
  <si>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</si>
  <si>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</si>
  <si>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</si>
  <si>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</si>
  <si>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</si>
  <si>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</si>
  <si>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</si>
  <si>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</si>
  <si>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</si>
  <si>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</si>
  <si>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</si>
  <si>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</si>
  <si>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</si>
  <si>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</si>
  <si>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</si>
  <si>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</si>
  <si>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</si>
  <si>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</si>
  <si>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</si>
  <si>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</si>
  <si>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</si>
  <si>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</si>
  <si>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</si>
  <si>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</si>
  <si>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</si>
  <si>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</si>
  <si>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</si>
  <si>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</si>
  <si>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</si>
  <si>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</si>
  <si>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</si>
  <si>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</si>
  <si>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</si>
  <si>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</si>
  <si>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</si>
  <si>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</si>
  <si>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</si>
  <si>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</si>
  <si>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</si>
  <si>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</si>
  <si>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</si>
  <si>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</si>
  <si>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</si>
  <si>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</si>
  <si>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</si>
  <si>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</si>
  <si>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</si>
  <si>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</si>
  <si>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</si>
  <si>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</si>
  <si>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</si>
  <si>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</si>
  <si>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</si>
  <si>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</si>
  <si>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</si>
  <si>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</si>
  <si>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</si>
  <si>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</si>
  <si>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</si>
  <si>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</si>
  <si>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</si>
  <si>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</si>
  <si>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</si>
  <si>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</si>
  <si>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</si>
  <si>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</si>
  <si>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</si>
  <si>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</si>
  <si>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</si>
  <si>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</si>
  <si>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</si>
  <si>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</si>
  <si>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</si>
  <si>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</si>
  <si>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</si>
  <si>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</si>
  <si>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</si>
  <si>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</si>
  <si>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</si>
  <si>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</si>
  <si>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</si>
  <si>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</si>
  <si>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</si>
  <si>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</si>
  <si>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</si>
  <si>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</si>
  <si>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</si>
  <si>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</si>
  <si>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</si>
  <si>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</si>
  <si>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</si>
  <si>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</si>
  <si>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</si>
  <si>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</si>
  <si>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</si>
  <si>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</si>
  <si>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</si>
  <si>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</si>
  <si>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</si>
  <si>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</si>
  <si>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</si>
  <si>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</si>
  <si>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</si>
  <si>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</si>
  <si>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</si>
  <si>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</si>
  <si>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</si>
  <si>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</si>
  <si>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</si>
  <si>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</si>
  <si>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</si>
  <si>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</si>
  <si>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</si>
  <si>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</si>
  <si>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</si>
  <si>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</si>
  <si>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</si>
  <si>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</si>
  <si>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</si>
  <si>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</si>
  <si>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</si>
  <si>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</si>
  <si>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</si>
  <si>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</si>
  <si>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</si>
  <si>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</si>
  <si>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</si>
  <si>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</si>
  <si>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</si>
  <si>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</si>
  <si>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</si>
  <si>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</si>
  <si>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</si>
  <si>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</si>
  <si>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</si>
  <si>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</si>
  <si>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</si>
  <si>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</si>
  <si>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</si>
  <si>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</si>
  <si>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</si>
  <si>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</si>
  <si>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</si>
  <si>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</si>
  <si>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</si>
  <si>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</si>
  <si>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</si>
  <si>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</si>
  <si>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</si>
  <si>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</si>
  <si>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</si>
  <si>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</si>
  <si>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</si>
  <si>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</si>
  <si>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</si>
  <si>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</si>
  <si>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</si>
  <si>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</si>
  <si>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</si>
  <si>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</si>
  <si>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</si>
  <si>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</si>
  <si>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</si>
  <si>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</si>
  <si>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</si>
  <si>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</si>
  <si>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</si>
  <si>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</si>
  <si>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</si>
  <si>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</si>
  <si>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</si>
  <si>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</si>
  <si>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</si>
  <si>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</si>
  <si>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</si>
  <si>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</si>
  <si>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</si>
  <si>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</si>
  <si>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</si>
  <si>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</si>
  <si>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</si>
  <si>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</si>
  <si>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</si>
  <si>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</si>
  <si>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</si>
  <si>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</si>
  <si>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</si>
  <si>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</si>
  <si>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</si>
  <si>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</si>
  <si>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</si>
  <si>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</si>
  <si>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</si>
  <si>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</si>
  <si>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</si>
  <si>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</si>
  <si>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</si>
  <si>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</si>
  <si>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</si>
  <si>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</si>
  <si>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</si>
  <si>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</si>
  <si>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</si>
  <si>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</si>
  <si>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</si>
  <si>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</si>
  <si>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</si>
  <si>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</si>
  <si>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</si>
  <si>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</si>
  <si>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</si>
  <si>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</si>
  <si>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</si>
  <si>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</si>
  <si>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</si>
  <si>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</si>
  <si>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</si>
  <si>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</si>
  <si>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</si>
  <si>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</si>
  <si>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</si>
  <si>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</si>
  <si>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</si>
  <si>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</si>
  <si>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</si>
  <si>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</si>
  <si>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</si>
  <si>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</si>
  <si>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</si>
  <si>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</si>
  <si>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</si>
  <si>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</si>
  <si>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</si>
  <si>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</si>
  <si>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</si>
  <si>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</si>
  <si>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</si>
  <si>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</si>
  <si>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</si>
  <si>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</si>
  <si>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</si>
  <si>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</si>
  <si>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</si>
  <si>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</si>
  <si>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</si>
  <si>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</si>
  <si>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</si>
  <si>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</si>
  <si>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</si>
  <si>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</si>
  <si>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</si>
  <si>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</si>
  <si>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</si>
  <si>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</si>
  <si>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</si>
  <si>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</si>
  <si>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</si>
  <si>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</si>
  <si>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</si>
  <si>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</si>
  <si>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</si>
  <si>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</si>
  <si>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</si>
  <si>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</si>
  <si>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</si>
  <si>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</si>
  <si>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</si>
  <si>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</si>
  <si>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</si>
  <si>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</si>
  <si>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</si>
  <si>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</si>
  <si>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</si>
  <si>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</si>
  <si>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</si>
  <si>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</si>
  <si>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</si>
  <si>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</si>
  <si>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</si>
  <si>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</si>
  <si>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</si>
  <si>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</si>
  <si>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</si>
  <si>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</si>
  <si>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</si>
  <si>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</si>
  <si>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</si>
  <si>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</si>
  <si>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</si>
  <si>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</si>
  <si>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</si>
  <si>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</si>
  <si>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</si>
  <si>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</si>
  <si>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</si>
  <si>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</si>
  <si>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</si>
  <si>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</si>
  <si>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</si>
  <si>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</si>
  <si>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</si>
  <si>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</si>
  <si>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</si>
  <si>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</si>
  <si>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</si>
  <si>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</si>
  <si>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</si>
  <si>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</si>
  <si>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</si>
  <si>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</si>
  <si>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</si>
  <si>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</si>
  <si>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</si>
  <si>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</si>
  <si>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</si>
  <si>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</si>
  <si>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</si>
  <si>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</si>
  <si>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</si>
  <si>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</si>
  <si>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</si>
  <si>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</si>
  <si>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</si>
  <si>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</si>
  <si>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</si>
  <si>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</si>
  <si>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</si>
  <si>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</si>
  <si>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</si>
  <si>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</si>
  <si>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</si>
  <si>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</si>
  <si>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</si>
  <si>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</si>
  <si>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</si>
  <si>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</si>
  <si>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</si>
  <si>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</si>
  <si>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</si>
  <si>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</si>
  <si>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</si>
  <si>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</si>
  <si>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</si>
  <si>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</si>
  <si>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</si>
  <si>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</si>
  <si>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</si>
  <si>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</si>
  <si>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</si>
  <si>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</si>
  <si>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</si>
  <si>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</si>
  <si>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</si>
  <si>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</si>
  <si>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</si>
  <si>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</si>
  <si>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</si>
  <si>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</si>
  <si>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</si>
  <si>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</si>
  <si>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</si>
  <si>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</si>
  <si>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</si>
  <si>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</si>
  <si>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</si>
  <si>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</si>
  <si>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</si>
  <si>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</si>
  <si>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</si>
  <si>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</si>
  <si>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</si>
  <si>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</si>
  <si>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</si>
  <si>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</si>
  <si>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</si>
  <si>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</si>
  <si>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</si>
  <si>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</si>
  <si>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</si>
  <si>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</si>
  <si>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</si>
  <si>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</si>
  <si>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</si>
  <si>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</si>
  <si>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</si>
  <si>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</si>
  <si>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</si>
  <si>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</si>
  <si>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</si>
  <si>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</si>
  <si>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</si>
  <si>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</si>
  <si>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</si>
  <si>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</si>
  <si>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</si>
  <si>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</si>
  <si>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</si>
  <si>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</si>
  <si>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</si>
  <si>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</si>
  <si>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</si>
  <si>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</si>
  <si>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</si>
  <si>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</si>
  <si>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</si>
  <si>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</si>
  <si>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</si>
  <si>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</si>
  <si>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</si>
  <si>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</si>
  <si>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</si>
  <si>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</si>
  <si>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</si>
  <si>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</si>
  <si>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</si>
  <si>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</si>
  <si>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</si>
  <si>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</si>
  <si>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</si>
  <si>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</si>
  <si>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</si>
  <si>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</si>
  <si>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</si>
  <si>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</si>
  <si>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</si>
  <si>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</si>
  <si>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</si>
  <si>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</si>
  <si>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</si>
  <si>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</si>
  <si>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</si>
  <si>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</si>
  <si>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</si>
  <si>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</si>
  <si>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</si>
  <si>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</si>
  <si>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</si>
  <si>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</si>
  <si>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</si>
  <si>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</si>
  <si>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</si>
  <si>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</si>
  <si>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</si>
  <si>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</si>
  <si>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</si>
  <si>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</si>
  <si>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</si>
  <si>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</si>
  <si>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</si>
  <si>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</si>
  <si>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</si>
  <si>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</si>
  <si>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</si>
  <si>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</si>
  <si>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</si>
  <si>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</si>
  <si>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</si>
  <si>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</si>
  <si>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</si>
  <si>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</si>
  <si>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</si>
  <si>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</si>
  <si>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</si>
  <si>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</si>
  <si>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</si>
  <si>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</si>
  <si>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</si>
  <si>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</si>
  <si>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</si>
  <si>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</si>
  <si>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</si>
  <si>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</si>
  <si>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</si>
  <si>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</si>
  <si>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</si>
  <si>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</si>
  <si>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</si>
  <si>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</si>
  <si>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</si>
  <si>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</si>
  <si>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</si>
  <si>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</si>
  <si>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</si>
  <si>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</si>
  <si>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</si>
  <si>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</si>
  <si>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</si>
  <si>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</si>
  <si>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</si>
  <si>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</si>
  <si>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</si>
  <si>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</si>
  <si>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</si>
  <si>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</si>
  <si>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</si>
  <si>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</si>
  <si>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</si>
  <si>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</si>
  <si>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</si>
  <si>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</si>
  <si>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</si>
  <si>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</si>
  <si>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</si>
  <si>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</si>
  <si>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</si>
  <si>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</si>
  <si>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</si>
  <si>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</si>
  <si>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</si>
  <si>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</si>
  <si>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</si>
  <si>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</si>
  <si>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</si>
  <si>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</si>
  <si>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</si>
  <si>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</si>
  <si>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</si>
  <si>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</si>
  <si>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</si>
  <si>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</si>
  <si>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</si>
  <si>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</si>
  <si>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</si>
  <si>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</si>
  <si>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</si>
  <si>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</si>
  <si>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</si>
  <si>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</si>
  <si>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</si>
  <si>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</si>
  <si>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</si>
  <si>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</si>
  <si>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</si>
  <si>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</si>
  <si>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</si>
  <si>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</si>
  <si>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</si>
  <si>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</si>
  <si>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</si>
  <si>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</si>
  <si>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</si>
  <si>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</si>
  <si>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</si>
  <si>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</si>
  <si>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</si>
  <si>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</si>
  <si>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</si>
  <si>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</si>
  <si>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</si>
  <si>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</si>
  <si>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</si>
  <si>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</si>
  <si>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</si>
  <si>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</si>
  <si>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</si>
  <si>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</si>
  <si>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</si>
  <si>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</si>
  <si>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</si>
  <si>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</si>
  <si>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</si>
  <si>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</si>
  <si>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</si>
  <si>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</si>
  <si>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</si>
  <si>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</si>
  <si>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</si>
  <si>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</si>
  <si>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</si>
  <si>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</si>
  <si>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</si>
  <si>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</si>
  <si>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</si>
  <si>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</si>
  <si>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</si>
  <si>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</si>
  <si>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</si>
  <si>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</si>
  <si>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</si>
  <si>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</si>
  <si>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</si>
  <si>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</si>
  <si>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</si>
  <si>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</si>
  <si>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</si>
  <si>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</si>
  <si>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</si>
  <si>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</si>
  <si>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</si>
  <si>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</si>
  <si>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</si>
  <si>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</si>
  <si>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</si>
  <si>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</si>
  <si>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</si>
  <si>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</si>
  <si>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</si>
  <si>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</si>
  <si>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</si>
  <si>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</si>
  <si>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</si>
  <si>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</si>
  <si>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</si>
  <si>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</si>
  <si>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</si>
  <si>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</si>
  <si>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</si>
  <si>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</si>
  <si>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</si>
  <si>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</si>
  <si>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</si>
  <si>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</si>
  <si>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</si>
  <si>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</si>
  <si>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</si>
  <si>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</si>
  <si>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</si>
  <si>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</si>
  <si>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</si>
  <si>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</si>
  <si>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</si>
  <si>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</si>
  <si>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</si>
  <si>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</si>
  <si>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</si>
  <si>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</si>
  <si>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</si>
  <si>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</si>
  <si>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</si>
  <si>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</si>
  <si>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</si>
  <si>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</si>
  <si>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</si>
  <si>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</si>
  <si>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</si>
  <si>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</si>
  <si>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</si>
  <si>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</si>
  <si>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</si>
  <si>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</si>
  <si>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</si>
  <si>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</si>
  <si>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</si>
  <si>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</si>
  <si>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</si>
  <si>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</si>
  <si>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</si>
  <si>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</si>
  <si>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</si>
  <si>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</si>
  <si>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</si>
  <si>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</si>
  <si>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</si>
  <si>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</si>
  <si>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</si>
  <si>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</si>
  <si>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</si>
  <si>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</si>
  <si>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</si>
  <si>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</si>
  <si>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</si>
  <si>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</si>
  <si>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</si>
  <si>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</si>
  <si>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</si>
  <si>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</si>
  <si>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</si>
  <si>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</si>
  <si>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</si>
  <si>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</si>
  <si>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</si>
  <si>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</si>
  <si>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</si>
  <si>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</si>
  <si>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</si>
  <si>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</si>
  <si>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</si>
  <si>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</si>
  <si>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</si>
  <si>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</si>
  <si>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</si>
  <si>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</si>
  <si>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</si>
  <si>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</si>
  <si>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</si>
  <si>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</si>
  <si>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</si>
  <si>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</si>
  <si>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</si>
  <si>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</si>
  <si>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</si>
  <si>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</si>
  <si>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</si>
  <si>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</si>
  <si>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</si>
  <si>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</si>
  <si>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</si>
  <si>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</si>
  <si>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</si>
  <si>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</si>
  <si>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</si>
  <si>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</si>
  <si>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</si>
  <si>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</si>
  <si>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</si>
  <si>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</si>
  <si>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</si>
  <si>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</si>
  <si>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</si>
  <si>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</si>
  <si>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</si>
  <si>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</si>
  <si>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</si>
  <si>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</si>
  <si>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</si>
  <si>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</si>
  <si>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</si>
  <si>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</si>
  <si>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</si>
  <si>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</si>
  <si>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</si>
  <si>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</si>
  <si>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</si>
  <si>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</si>
  <si>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</si>
  <si>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</si>
  <si>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</si>
  <si>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</si>
  <si>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</si>
  <si>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</si>
  <si>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</si>
  <si>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</si>
  <si>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</si>
  <si>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</si>
  <si>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</si>
  <si>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</si>
  <si>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</si>
  <si>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</si>
  <si>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</si>
  <si>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</si>
  <si>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</si>
  <si>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</si>
  <si>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</si>
  <si>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</si>
  <si>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</si>
  <si>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</si>
  <si>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</si>
  <si>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</si>
  <si>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</si>
  <si>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</si>
  <si>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</si>
  <si>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</si>
  <si>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</si>
  <si>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</si>
  <si>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</si>
  <si>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</si>
  <si>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</si>
  <si>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</si>
  <si>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</si>
  <si>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</si>
  <si>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</si>
  <si>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</si>
  <si>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</si>
  <si>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</si>
  <si>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</si>
  <si>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</si>
  <si>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</si>
  <si>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</si>
  <si>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</si>
  <si>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</si>
  <si>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</si>
  <si>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</si>
  <si>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</si>
  <si>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</si>
  <si>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</si>
  <si>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</si>
  <si>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</si>
  <si>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</si>
  <si>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</si>
  <si>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</si>
  <si>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</si>
  <si>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</si>
  <si>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</si>
  <si>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</si>
  <si>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</si>
  <si>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</si>
  <si>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</si>
  <si>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</si>
  <si>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</si>
  <si>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</si>
  <si>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</si>
  <si>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</si>
  <si>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</si>
  <si>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</si>
  <si>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</si>
  <si>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</si>
  <si>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</si>
  <si>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</si>
  <si>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</si>
  <si>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</si>
  <si>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</si>
  <si>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</si>
  <si>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</si>
  <si>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</si>
  <si>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</si>
  <si>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</si>
  <si>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</si>
  <si>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</si>
  <si>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</si>
  <si>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</si>
  <si>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</si>
  <si>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</si>
  <si>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</si>
  <si>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</si>
  <si>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</si>
  <si>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</si>
  <si>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</si>
  <si>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</si>
  <si>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</si>
  <si>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</si>
  <si>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</si>
  <si>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</si>
  <si>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</si>
  <si>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</si>
  <si>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</si>
  <si>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</si>
  <si>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</si>
  <si>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</si>
  <si>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</si>
  <si>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</si>
  <si>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</si>
  <si>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</si>
  <si>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</si>
  <si>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</si>
  <si>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</si>
  <si>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</si>
  <si>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</si>
  <si>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</si>
  <si>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</si>
  <si>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</si>
  <si>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</si>
  <si>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</si>
  <si>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</si>
  <si>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</si>
  <si>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</si>
  <si>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</si>
  <si>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</si>
  <si>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</si>
  <si>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</si>
  <si>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</si>
  <si>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</si>
  <si>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</si>
  <si>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</si>
  <si>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</si>
  <si>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</si>
  <si>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</si>
  <si>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</si>
  <si>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</si>
  <si>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</si>
  <si>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</si>
  <si>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</si>
  <si>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</si>
  <si>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</si>
  <si>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</si>
  <si>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</si>
  <si>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</si>
  <si>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</si>
  <si>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</si>
  <si>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</si>
  <si>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</si>
  <si>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</si>
  <si>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</si>
  <si>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</si>
  <si>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</si>
  <si>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</si>
  <si>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</si>
  <si>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</si>
  <si>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</si>
  <si>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</si>
  <si>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</si>
  <si>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</si>
  <si>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</si>
  <si>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</si>
  <si>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</si>
  <si>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</si>
  <si>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</si>
  <si>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</si>
  <si>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</si>
  <si>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</si>
  <si>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</si>
  <si>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</si>
  <si>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</si>
  <si>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</si>
  <si>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</si>
  <si>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</si>
  <si>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</si>
  <si>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</si>
  <si>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</si>
  <si>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</si>
  <si>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</si>
  <si>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</si>
  <si>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</si>
  <si>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</si>
  <si>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</si>
  <si>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</si>
  <si>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</si>
  <si>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</si>
  <si>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</si>
  <si>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</si>
  <si>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</si>
  <si>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</si>
  <si>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</si>
  <si>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</si>
  <si>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</si>
  <si>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</si>
  <si>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</si>
  <si>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</si>
  <si>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</si>
  <si>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</si>
  <si>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</si>
  <si>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</si>
  <si>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</si>
  <si>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</si>
  <si>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</si>
  <si>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</si>
  <si>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</si>
  <si>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</si>
  <si>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</si>
  <si>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</si>
  <si>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</si>
  <si>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</si>
  <si>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</si>
  <si>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</si>
  <si>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</si>
  <si>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</si>
  <si>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</si>
  <si>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</si>
  <si>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</si>
  <si>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</si>
  <si>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</si>
  <si>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</si>
  <si>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</si>
  <si>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</si>
  <si>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</si>
  <si>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</si>
  <si>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</si>
  <si>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</si>
  <si>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</si>
  <si>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</si>
  <si>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</si>
  <si>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</si>
  <si>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</si>
  <si>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</si>
  <si>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</si>
  <si>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</si>
  <si>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</si>
  <si>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</si>
  <si>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</si>
  <si>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</si>
  <si>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</si>
  <si>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</si>
  <si>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</si>
  <si>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</si>
  <si>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</si>
  <si>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</si>
  <si>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</si>
  <si>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</si>
  <si>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</si>
  <si>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</si>
  <si>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</si>
  <si>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</si>
  <si>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</si>
  <si>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</si>
  <si>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</si>
  <si>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</si>
  <si>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</si>
  <si>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</si>
  <si>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</si>
  <si>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</si>
  <si>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</si>
  <si>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</si>
  <si>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</si>
  <si>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</si>
  <si>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</si>
  <si>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</si>
  <si>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</si>
  <si>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</si>
  <si>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</si>
  <si>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</si>
  <si>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</si>
  <si>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</si>
  <si>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</si>
  <si>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</si>
  <si>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</si>
  <si>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</si>
  <si>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</si>
  <si>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</si>
  <si>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</si>
  <si>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</si>
  <si>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</si>
  <si>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</si>
  <si>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</si>
  <si>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</si>
  <si>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</si>
  <si>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</si>
  <si>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</si>
  <si>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</si>
  <si>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</si>
  <si>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</si>
  <si>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</si>
  <si>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</si>
  <si>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</si>
  <si>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</si>
  <si>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</si>
  <si>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</si>
  <si>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</si>
  <si>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</si>
  <si>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</si>
  <si>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</si>
  <si>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</si>
  <si>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</si>
  <si>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</si>
  <si>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</si>
  <si>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</si>
  <si>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</si>
  <si>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</si>
  <si>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</si>
  <si>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</si>
  <si>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</si>
  <si>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</si>
  <si>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</si>
  <si>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</si>
  <si>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</si>
  <si>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</si>
  <si>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</si>
  <si>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</si>
  <si>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</si>
  <si>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</si>
  <si>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</si>
  <si>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</si>
  <si>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</si>
  <si>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</si>
  <si>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</si>
  <si>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</si>
  <si>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</si>
  <si>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</si>
  <si>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</si>
  <si>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</si>
  <si>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</si>
  <si>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</si>
  <si>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</si>
  <si>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</si>
  <si>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</si>
  <si>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</si>
  <si>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</si>
  <si>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</si>
  <si>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</si>
  <si>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</si>
  <si>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</si>
  <si>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</si>
  <si>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</si>
  <si>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</si>
  <si>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</si>
  <si>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</si>
  <si>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</si>
  <si>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</si>
  <si>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</si>
  <si>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</si>
  <si>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</si>
  <si>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</si>
  <si>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</si>
  <si>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</si>
  <si>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</si>
  <si>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</si>
  <si>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</si>
  <si>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</si>
  <si>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</si>
  <si>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</si>
  <si>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</si>
  <si>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</si>
  <si>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</si>
  <si>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</si>
  <si>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</si>
  <si>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</si>
  <si>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</si>
  <si>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</si>
  <si>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</si>
  <si>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</si>
  <si>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</si>
  <si>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</si>
  <si>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</si>
  <si>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</si>
  <si>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</si>
  <si>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</si>
  <si>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</si>
  <si>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</si>
  <si>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</si>
  <si>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</si>
  <si>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</si>
  <si>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</si>
  <si>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</si>
  <si>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</si>
  <si>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</si>
  <si>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</si>
  <si>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</si>
  <si>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</si>
  <si>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</si>
  <si>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</si>
  <si>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</si>
  <si>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</si>
  <si>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</si>
  <si>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</si>
  <si>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</si>
  <si>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</si>
  <si>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</si>
  <si>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</si>
  <si>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</si>
  <si>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</si>
  <si>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</si>
  <si>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</si>
  <si>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</si>
  <si>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</si>
  <si>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</si>
  <si>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</si>
  <si>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</si>
  <si>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</si>
  <si>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</si>
  <si>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</si>
  <si>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</si>
  <si>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</si>
  <si>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</si>
  <si>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</si>
  <si>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</si>
  <si>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</si>
  <si>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</si>
  <si>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</si>
  <si>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</si>
  <si>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</si>
  <si>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</si>
  <si>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</si>
  <si>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</si>
  <si>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</si>
  <si>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</si>
  <si>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</si>
  <si>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</si>
  <si>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</si>
  <si>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</si>
  <si>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</si>
  <si>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</si>
  <si>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</si>
  <si>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</si>
  <si>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</si>
  <si>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</si>
  <si>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</si>
  <si>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</si>
  <si>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</si>
  <si>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</si>
  <si>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</si>
  <si>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</si>
  <si>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</si>
  <si>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</si>
  <si>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</si>
  <si>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</si>
  <si>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</si>
  <si>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</si>
  <si>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</si>
  <si>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</si>
  <si>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</si>
  <si>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</si>
  <si>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</si>
  <si>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</si>
  <si>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</si>
  <si>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</si>
  <si>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</si>
  <si>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</si>
  <si>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</si>
  <si>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</si>
  <si>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</si>
  <si>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</si>
  <si>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</si>
  <si>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</si>
  <si>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</si>
  <si>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</si>
  <si>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</si>
  <si>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</si>
  <si>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</si>
  <si>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</si>
  <si>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</si>
  <si>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</si>
  <si>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</si>
  <si>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</si>
  <si>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</si>
  <si>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</si>
  <si>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</si>
  <si>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</si>
  <si>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</si>
  <si>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</si>
  <si>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</si>
  <si>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</si>
  <si>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</si>
  <si>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</si>
  <si>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</si>
  <si>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</si>
  <si>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</si>
  <si>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</si>
  <si>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</si>
  <si>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</si>
  <si>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</si>
  <si>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</si>
  <si>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</si>
  <si>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</si>
  <si>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</si>
  <si>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</si>
  <si>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</si>
  <si>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</si>
  <si>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</si>
  <si>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</si>
  <si>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</si>
  <si>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</si>
  <si>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</si>
  <si>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</si>
  <si>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</si>
  <si>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</si>
  <si>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</si>
  <si>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</si>
  <si>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</si>
  <si>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</si>
  <si>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</si>
  <si>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</si>
  <si>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</si>
  <si>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</si>
  <si>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</si>
  <si>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</si>
  <si>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</si>
  <si>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</si>
  <si>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</si>
  <si>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</si>
  <si>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</si>
  <si>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</si>
  <si>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</si>
  <si>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</si>
  <si>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</si>
  <si>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</si>
  <si>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</si>
  <si>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</si>
  <si>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</si>
  <si>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</si>
  <si>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</si>
  <si>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</si>
  <si>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</si>
  <si>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</si>
  <si>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</si>
  <si>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</si>
  <si>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</si>
  <si>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</si>
  <si>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</si>
  <si>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</si>
  <si>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</si>
  <si>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</si>
  <si>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</si>
  <si>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</si>
  <si>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</si>
  <si>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</si>
  <si>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</si>
  <si>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</si>
  <si>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</si>
  <si>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</si>
  <si>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</si>
  <si>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</si>
  <si>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</si>
  <si>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</si>
  <si>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</si>
  <si>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</si>
  <si>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</si>
  <si>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</si>
  <si>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</si>
  <si>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</si>
  <si>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</si>
  <si>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</si>
  <si>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</si>
  <si>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</si>
  <si>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</si>
  <si>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</si>
  <si>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</si>
  <si>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</si>
  <si>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</si>
  <si>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</si>
  <si>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</si>
  <si>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</si>
  <si>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</si>
  <si>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</si>
  <si>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</si>
  <si>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</si>
  <si>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</si>
  <si>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</si>
  <si>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</si>
  <si>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</si>
  <si>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</si>
  <si>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</si>
  <si>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</si>
  <si>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</si>
  <si>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</si>
  <si>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</si>
  <si>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</si>
  <si>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</si>
  <si>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</si>
  <si>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</si>
  <si>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</si>
  <si>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</si>
  <si>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</si>
  <si>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</si>
  <si>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</si>
  <si>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</si>
  <si>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</si>
  <si>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</si>
  <si>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</si>
  <si>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</si>
  <si>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</si>
  <si>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</si>
  <si>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</si>
  <si>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</si>
  <si>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</si>
  <si>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</si>
  <si>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</si>
  <si>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</si>
  <si>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</si>
  <si>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</si>
  <si>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</si>
  <si>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</si>
  <si>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</si>
  <si>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</si>
  <si>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</si>
  <si>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</si>
  <si>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</si>
  <si>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</si>
  <si>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</si>
  <si>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</si>
  <si>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</si>
  <si>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</si>
  <si>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</si>
  <si>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</si>
  <si>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</si>
  <si>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</si>
  <si>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</si>
  <si>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</si>
  <si>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</si>
  <si>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</si>
  <si>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</si>
  <si>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</si>
  <si>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</si>
  <si>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</si>
  <si>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</si>
  <si>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</si>
  <si>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</si>
  <si>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</si>
  <si>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</si>
  <si>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</si>
  <si>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</si>
  <si>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</si>
  <si>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</si>
  <si>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</si>
  <si>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</si>
  <si>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</si>
  <si>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</si>
  <si>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</si>
  <si>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</si>
  <si>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</si>
  <si>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</si>
  <si>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</si>
  <si>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</si>
  <si>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</si>
  <si>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</si>
  <si>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</si>
  <si>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</si>
  <si>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</si>
  <si>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</si>
  <si>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</si>
  <si>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</si>
  <si>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</si>
  <si>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</si>
  <si>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</si>
  <si>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</si>
  <si>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</si>
  <si>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</si>
  <si>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</si>
  <si>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</si>
  <si>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</si>
  <si>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</si>
  <si>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</si>
  <si>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</si>
  <si>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</si>
  <si>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</si>
  <si>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</si>
  <si>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</si>
  <si>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</si>
  <si>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</si>
  <si>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</si>
  <si>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</si>
  <si>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</si>
  <si>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</si>
  <si>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</si>
  <si>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</si>
  <si>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</si>
  <si>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</si>
  <si>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</si>
  <si>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</si>
  <si>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</si>
  <si>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</si>
  <si>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</si>
  <si>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</si>
  <si>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</si>
  <si>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</si>
  <si>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</si>
  <si>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</si>
  <si>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</si>
  <si>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</si>
  <si>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</si>
  <si>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</si>
  <si>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</si>
  <si>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</si>
  <si>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</si>
  <si>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</si>
  <si>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</si>
  <si>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</si>
  <si>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</si>
  <si>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</si>
  <si>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</si>
  <si>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</si>
  <si>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</si>
  <si>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</si>
  <si>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</si>
  <si>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</si>
  <si>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</si>
  <si>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</si>
  <si>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</si>
  <si>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</si>
  <si>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</si>
  <si>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</si>
  <si>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</si>
  <si>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</si>
  <si>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</si>
  <si>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</si>
  <si>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</si>
  <si>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</si>
  <si>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</si>
  <si>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</si>
  <si>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</si>
  <si>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</si>
  <si>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</si>
  <si>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</si>
  <si>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</si>
  <si>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</si>
  <si>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</si>
  <si>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</si>
  <si>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</si>
  <si>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</si>
  <si>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</si>
  <si>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</si>
  <si>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</si>
  <si>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</si>
  <si>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</si>
  <si>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</si>
  <si>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</si>
  <si>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</si>
  <si>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</si>
  <si>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</si>
  <si>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</si>
  <si>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</si>
  <si>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</si>
  <si>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</si>
  <si>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</si>
  <si>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</si>
  <si>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</si>
  <si>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</si>
  <si>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</si>
  <si>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</si>
  <si>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</si>
  <si>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</si>
  <si>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</si>
  <si>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</si>
  <si>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</si>
  <si>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</si>
  <si>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</si>
  <si>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</si>
  <si>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</si>
  <si>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</si>
  <si>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</si>
  <si>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</si>
  <si>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</si>
  <si>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</si>
  <si>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</si>
  <si>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</si>
  <si>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</si>
  <si>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</si>
  <si>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</si>
  <si>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</si>
  <si>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</si>
  <si>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</si>
  <si>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</si>
  <si>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</si>
  <si>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</si>
  <si>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</si>
  <si>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</si>
  <si>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</si>
  <si>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</si>
  <si>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</si>
  <si>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</si>
  <si>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</si>
  <si>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</si>
  <si>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</si>
  <si>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</si>
  <si>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</si>
  <si>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</si>
  <si>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</si>
  <si>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</si>
  <si>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</si>
  <si>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</si>
  <si>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</si>
  <si>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</si>
  <si>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</si>
  <si>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</si>
  <si>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</si>
  <si>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</si>
  <si>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</si>
  <si>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</si>
  <si>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</si>
  <si>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</si>
  <si>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</si>
  <si>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</si>
  <si>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</si>
  <si>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</si>
  <si>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</si>
  <si>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</si>
  <si>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</si>
  <si>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</si>
  <si>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</si>
  <si>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</si>
  <si>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</si>
  <si>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</si>
  <si>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</si>
  <si>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</si>
  <si>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</si>
  <si>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</si>
  <si>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</si>
  <si>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</si>
  <si>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</si>
  <si>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</si>
  <si>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</si>
  <si>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</si>
  <si>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</si>
  <si>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</si>
  <si>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</si>
  <si>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</si>
  <si>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</si>
  <si>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</si>
  <si>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</si>
  <si>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</si>
  <si>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</si>
  <si>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</si>
  <si>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</si>
  <si>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</si>
  <si>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</si>
  <si>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</si>
  <si>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</si>
  <si>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</si>
  <si>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</si>
  <si>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</si>
  <si>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</si>
  <si>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</si>
  <si>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</si>
  <si>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</si>
  <si>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</si>
  <si>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</si>
  <si>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</si>
  <si>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</si>
  <si>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</si>
  <si>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</si>
  <si>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</si>
  <si>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</si>
  <si>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</si>
  <si>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</si>
  <si>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</si>
  <si>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</si>
  <si>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</si>
  <si>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</si>
  <si>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</si>
  <si>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</si>
  <si>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</si>
  <si>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</si>
  <si>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</si>
  <si>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</si>
  <si>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</si>
  <si>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</si>
  <si>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</si>
  <si>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</si>
  <si>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</si>
  <si>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</si>
  <si>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</si>
  <si>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</si>
  <si>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</si>
  <si>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</si>
  <si>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</si>
  <si>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</si>
  <si>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</si>
  <si>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</si>
  <si>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</si>
  <si>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</si>
  <si>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</si>
  <si>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</si>
  <si>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</si>
  <si>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</si>
  <si>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</si>
  <si>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</si>
  <si>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</si>
  <si>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</si>
  <si>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</si>
  <si>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</si>
  <si>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</si>
  <si>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</si>
  <si>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</si>
  <si>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</si>
  <si>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</si>
  <si>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</si>
  <si>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</si>
  <si>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</si>
  <si>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</si>
  <si>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</si>
  <si>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</si>
  <si>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</si>
  <si>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</si>
  <si>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</si>
  <si>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</si>
  <si>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</si>
  <si>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</si>
  <si>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</si>
  <si>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</si>
  <si>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</si>
  <si>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</si>
  <si>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</si>
  <si>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</si>
  <si>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</si>
  <si>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</si>
  <si>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</si>
  <si>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</si>
  <si>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</si>
  <si>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</si>
  <si>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</si>
  <si>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</si>
  <si>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</si>
  <si>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</si>
  <si>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</si>
  <si>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</si>
  <si>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</si>
  <si>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</si>
  <si>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</si>
  <si>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</si>
  <si>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</si>
  <si>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</si>
  <si>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</si>
  <si>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</si>
  <si>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</si>
  <si>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</si>
  <si>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</si>
  <si>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</si>
  <si>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</si>
  <si>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</si>
  <si>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</si>
  <si>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</si>
  <si>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</si>
  <si>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</si>
  <si>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</si>
  <si>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</si>
  <si>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</si>
  <si>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</si>
  <si>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</si>
  <si>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</si>
  <si>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</si>
  <si>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</si>
  <si>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</si>
  <si>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</si>
  <si>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</si>
  <si>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</si>
  <si>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</si>
  <si>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</si>
  <si>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</si>
  <si>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</si>
  <si>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</si>
  <si>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</si>
  <si>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</si>
  <si>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</si>
  <si>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</si>
  <si>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</si>
  <si>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</si>
  <si>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</si>
  <si>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</si>
  <si>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</si>
  <si>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</si>
  <si>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</si>
  <si>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</si>
  <si>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</si>
  <si>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</si>
  <si>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</si>
  <si>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</si>
  <si>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</si>
  <si>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</si>
  <si>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</si>
  <si>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</si>
  <si>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</si>
  <si>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</si>
  <si>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</si>
  <si>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</si>
  <si>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</si>
  <si>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</si>
  <si>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</si>
  <si>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</si>
  <si>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</si>
  <si>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</si>
  <si>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</si>
  <si>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</si>
  <si>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</si>
  <si>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</si>
  <si>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</si>
  <si>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</si>
  <si>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</si>
  <si>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</si>
  <si>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</si>
  <si>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</si>
  <si>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</si>
  <si>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</si>
  <si>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</si>
  <si>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</si>
  <si>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</si>
  <si>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</si>
  <si>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</si>
  <si>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</si>
  <si>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</si>
  <si>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</si>
  <si>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</si>
  <si>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</si>
  <si>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</si>
  <si>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</si>
  <si>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</si>
  <si>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</si>
  <si>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</si>
  <si>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</si>
  <si>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</si>
  <si>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</si>
  <si>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</si>
  <si>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</si>
  <si>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</si>
  <si>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</si>
  <si>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</si>
  <si>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</si>
  <si>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</si>
  <si>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</si>
  <si>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</si>
  <si>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</si>
  <si>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</si>
  <si>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</si>
  <si>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</si>
  <si>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</si>
  <si>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</si>
  <si>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</si>
  <si>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</si>
  <si>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</si>
  <si>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</si>
  <si>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</si>
  <si>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</si>
  <si>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</si>
  <si>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</si>
  <si>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</si>
  <si>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</si>
  <si>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</si>
  <si>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</si>
  <si>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</si>
  <si>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</si>
  <si>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</si>
  <si>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</si>
  <si>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</si>
  <si>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</si>
  <si>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</si>
  <si>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</si>
  <si>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</si>
  <si>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</si>
  <si>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</si>
  <si>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</si>
  <si>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</si>
  <si>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</si>
  <si>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</si>
  <si>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</si>
  <si>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</si>
  <si>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</si>
  <si>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</si>
  <si>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</si>
  <si>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</si>
  <si>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</si>
  <si>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</si>
  <si>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</si>
  <si>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</si>
  <si>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</si>
  <si>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</si>
  <si>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</si>
  <si>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</si>
  <si>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</si>
  <si>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</si>
  <si>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</si>
  <si>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</si>
  <si>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</si>
  <si>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</si>
  <si>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</si>
  <si>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</si>
  <si>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</si>
  <si>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</si>
  <si>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</si>
  <si>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</si>
  <si>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</si>
  <si>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</si>
  <si>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</si>
  <si>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</si>
  <si>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</si>
  <si>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</si>
  <si>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</si>
  <si>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</si>
  <si>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</si>
  <si>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</si>
  <si>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</si>
  <si>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</si>
  <si>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</si>
  <si>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</si>
  <si>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</si>
  <si>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</si>
  <si>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</si>
  <si>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</si>
  <si>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</si>
  <si>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</si>
  <si>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</si>
  <si>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</si>
  <si>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</si>
  <si>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</si>
  <si>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</si>
  <si>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</si>
  <si>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</si>
  <si>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</si>
  <si>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</si>
  <si>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</si>
  <si>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</si>
  <si>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</si>
  <si>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</si>
  <si>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</si>
  <si>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</si>
  <si>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</si>
  <si>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</si>
  <si>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</si>
  <si>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</si>
  <si>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</si>
  <si>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</si>
  <si>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</si>
  <si>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</si>
  <si>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</si>
  <si>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</si>
  <si>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</si>
  <si>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</si>
  <si>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</si>
  <si>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</si>
  <si>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</si>
  <si>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</si>
  <si>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</si>
  <si>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</si>
  <si>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</si>
  <si>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</si>
  <si>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</si>
  <si>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</si>
  <si>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</si>
  <si>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</si>
  <si>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</si>
  <si>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</si>
  <si>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</si>
  <si>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</si>
  <si>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</si>
  <si>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</si>
  <si>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</si>
  <si>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</si>
  <si>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</si>
  <si>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</si>
  <si>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</si>
  <si>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</si>
  <si>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</si>
  <si>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</si>
  <si>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</si>
  <si>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</si>
  <si>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</si>
  <si>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</si>
  <si>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</si>
  <si>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</si>
  <si>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</si>
  <si>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</si>
  <si>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</si>
  <si>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</si>
  <si>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</si>
  <si>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</si>
  <si>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</si>
  <si>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</si>
  <si>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</si>
  <si>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</si>
  <si>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</si>
  <si>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</si>
  <si>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</si>
  <si>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</si>
  <si>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</si>
  <si>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</si>
  <si>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</si>
  <si>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</si>
  <si>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</si>
  <si>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</si>
  <si>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</si>
  <si>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</si>
  <si>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</si>
  <si>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</si>
  <si>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</si>
  <si>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</si>
  <si>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</si>
  <si>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</si>
  <si>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</si>
  <si>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</si>
  <si>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</si>
  <si>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</si>
  <si>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</si>
  <si>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</si>
  <si>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</si>
  <si>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</si>
  <si>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</si>
  <si>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</si>
  <si>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</si>
  <si>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</si>
  <si>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</si>
  <si>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</si>
  <si>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</si>
  <si>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</si>
  <si>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</si>
  <si>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</si>
  <si>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</si>
  <si>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</si>
  <si>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</si>
  <si>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</si>
  <si>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</si>
  <si>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</si>
  <si>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</si>
  <si>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</si>
  <si>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</si>
  <si>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</si>
  <si>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</si>
  <si>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</si>
  <si>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</si>
  <si>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</si>
  <si>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</si>
  <si>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</si>
  <si>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</si>
  <si>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</si>
  <si>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</si>
  <si>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</si>
  <si>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</si>
  <si>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</si>
  <si>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</si>
  <si>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</si>
  <si>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</si>
  <si>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</si>
  <si>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</si>
  <si>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</si>
  <si>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</si>
  <si>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</si>
  <si>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</si>
  <si>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</si>
  <si>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</si>
  <si>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</si>
  <si>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</si>
  <si>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</si>
  <si>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</si>
  <si>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</si>
  <si>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</si>
  <si>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</si>
  <si>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</si>
  <si>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</si>
  <si>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</si>
  <si>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</si>
  <si>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</si>
  <si>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</si>
  <si>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</si>
  <si>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</si>
  <si>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</si>
  <si>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</si>
  <si>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</si>
  <si>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</si>
  <si>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</si>
  <si>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</si>
  <si>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</si>
  <si>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</si>
  <si>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</si>
  <si>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</si>
  <si>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</si>
  <si>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</si>
  <si>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</si>
  <si>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</si>
  <si>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</si>
  <si>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</si>
  <si>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</si>
  <si>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</si>
  <si>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</si>
  <si>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</si>
  <si>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</si>
  <si>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</si>
  <si>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</si>
  <si>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</si>
  <si>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</si>
  <si>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</si>
  <si>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</si>
  <si>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</si>
  <si>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</si>
  <si>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</si>
  <si>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</si>
  <si>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</si>
  <si>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</si>
  <si>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</si>
  <si>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</si>
  <si>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</si>
  <si>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</si>
  <si>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</si>
  <si>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</si>
  <si>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</si>
  <si>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</si>
  <si>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</si>
  <si>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</si>
  <si>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</si>
  <si>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</si>
  <si>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</si>
  <si>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</si>
  <si>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</si>
  <si>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</si>
  <si>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</si>
  <si>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</si>
  <si>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</si>
  <si>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</si>
  <si>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</si>
  <si>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</si>
  <si>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</si>
  <si>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</si>
  <si>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</si>
  <si>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</si>
  <si>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</si>
  <si>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</si>
  <si>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</si>
  <si>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</si>
  <si>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</si>
  <si>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</si>
  <si>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</si>
  <si>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</si>
  <si>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</si>
  <si>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</si>
  <si>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</si>
  <si>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</si>
  <si>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</si>
  <si>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</si>
  <si>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</si>
  <si>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</si>
  <si>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</si>
  <si>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</si>
  <si>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</si>
  <si>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</si>
  <si>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</si>
  <si>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</si>
  <si>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</si>
  <si>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</si>
  <si>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</si>
  <si>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</si>
  <si>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</si>
  <si>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</si>
  <si>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</si>
  <si>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</si>
  <si>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</si>
  <si>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</si>
  <si>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</si>
  <si>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</si>
  <si>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</si>
  <si>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</si>
  <si>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</si>
  <si>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</si>
  <si>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</si>
  <si>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</si>
  <si>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</si>
  <si>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</si>
  <si>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</si>
  <si>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</si>
  <si>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</si>
  <si>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</si>
  <si>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</si>
  <si>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</si>
  <si>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</si>
  <si>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</si>
  <si>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</si>
  <si>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</si>
  <si>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</si>
  <si>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</si>
  <si>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</si>
  <si>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</si>
  <si>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</si>
  <si>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</si>
  <si>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</si>
  <si>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</si>
  <si>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</si>
  <si>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</si>
  <si>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</si>
  <si>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</si>
  <si>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</si>
  <si>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</si>
  <si>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</si>
  <si>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</si>
  <si>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</si>
  <si>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</si>
  <si>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</si>
  <si>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</si>
  <si>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</si>
  <si>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</si>
  <si>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</si>
  <si>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</si>
  <si>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</si>
  <si>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</si>
  <si>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</si>
  <si>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</si>
  <si>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</si>
  <si>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</si>
  <si>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</si>
  <si>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</si>
  <si>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</si>
  <si>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</si>
  <si>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</si>
  <si>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</si>
  <si>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</si>
  <si>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</si>
  <si>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</si>
  <si>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</si>
  <si>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</si>
  <si>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</si>
  <si>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</si>
  <si>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</si>
  <si>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</si>
  <si>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</si>
  <si>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</si>
  <si>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</si>
  <si>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</si>
  <si>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</si>
  <si>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</si>
  <si>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</si>
  <si>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</si>
  <si>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</si>
  <si>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</si>
  <si>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</si>
  <si>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</si>
  <si>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</si>
  <si>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</si>
  <si>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</si>
  <si>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</si>
  <si>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</si>
  <si>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</si>
  <si>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</si>
  <si>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</si>
  <si>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</si>
  <si>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</si>
  <si>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</si>
  <si>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</si>
  <si>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</si>
  <si>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</si>
  <si>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</si>
  <si>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</si>
  <si>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</si>
  <si>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</si>
  <si>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</si>
  <si>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</si>
  <si>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</si>
  <si>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</si>
  <si>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</si>
  <si>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</si>
  <si>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</si>
  <si>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</si>
  <si>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</si>
  <si>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</si>
  <si>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</si>
  <si>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</si>
  <si>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</si>
  <si>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</si>
  <si>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</si>
  <si>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</si>
  <si>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</si>
  <si>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</si>
  <si>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</si>
  <si>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</si>
  <si>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</si>
  <si>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</si>
  <si>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</si>
  <si>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</si>
  <si>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</si>
  <si>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</si>
  <si>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</si>
  <si>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</si>
  <si>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</si>
  <si>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</si>
  <si>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</si>
  <si>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</si>
  <si>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</si>
  <si>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</si>
  <si>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</si>
  <si>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</si>
  <si>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</si>
  <si>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</si>
  <si>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</si>
  <si>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</si>
  <si>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</si>
  <si>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</si>
  <si>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</si>
  <si>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</si>
  <si>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</si>
  <si>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</si>
  <si>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</si>
  <si>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</si>
  <si>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</si>
  <si>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</si>
  <si>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</si>
  <si>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</si>
  <si>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</si>
  <si>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</si>
  <si>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</si>
  <si>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</si>
  <si>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</si>
  <si>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</si>
  <si>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</si>
  <si>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</si>
  <si>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</si>
  <si>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</si>
  <si>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</si>
  <si>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</si>
  <si>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</si>
  <si>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</si>
  <si>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</si>
  <si>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</si>
  <si>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</si>
  <si>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</si>
  <si>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</si>
  <si>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</si>
  <si>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</si>
  <si>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</si>
  <si>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</si>
  <si>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</si>
  <si>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</si>
  <si>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</si>
  <si>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</si>
  <si>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</si>
  <si>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</si>
  <si>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</si>
  <si>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</si>
  <si>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</si>
  <si>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</si>
  <si>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</si>
  <si>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</si>
  <si>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</si>
  <si>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</si>
  <si>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</si>
  <si>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</si>
  <si>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</si>
  <si>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</si>
  <si>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</si>
  <si>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</si>
  <si>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</si>
  <si>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</si>
  <si>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</si>
  <si>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</si>
  <si>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</si>
  <si>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</si>
  <si>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</si>
  <si>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</si>
  <si>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</si>
  <si>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</si>
  <si>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</si>
  <si>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</si>
  <si>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</si>
  <si>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</si>
  <si>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</si>
  <si>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</si>
  <si>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</si>
  <si>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</si>
  <si>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</si>
  <si>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</si>
  <si>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</si>
  <si>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</si>
  <si>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</si>
  <si>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</si>
  <si>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</si>
  <si>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</si>
  <si>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</si>
  <si>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</si>
  <si>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</si>
  <si>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</si>
  <si>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</si>
  <si>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</si>
  <si>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</si>
  <si>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</si>
  <si>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</si>
  <si>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</si>
  <si>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</si>
  <si>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</si>
  <si>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</si>
  <si>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</si>
  <si>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</si>
  <si>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</si>
  <si>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</si>
  <si>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</si>
  <si>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</si>
  <si>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</si>
  <si>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</si>
  <si>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</si>
  <si>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</si>
  <si>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</si>
  <si>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</si>
  <si>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</si>
  <si>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</si>
  <si>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</si>
  <si>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</si>
  <si>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</si>
  <si>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</si>
  <si>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</si>
  <si>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</si>
  <si>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</si>
  <si>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</si>
  <si>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</si>
  <si>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</si>
  <si>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</si>
  <si>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</si>
  <si>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</si>
  <si>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</si>
  <si>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</si>
  <si>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</si>
  <si>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</si>
  <si>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</si>
  <si>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</si>
  <si>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</si>
  <si>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</si>
  <si>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是</t>
  </si>
  <si>
    <t>地上</t>
  </si>
  <si>
    <t>加油站</t>
  </si>
  <si>
    <t>加油站</t>
    <phoneticPr fontId="7" type="noConversion"/>
  </si>
  <si>
    <t>成新度</t>
  </si>
  <si>
    <t>收益法</t>
  </si>
  <si>
    <t>未包含在土地购买价格中</t>
  </si>
  <si>
    <t>已包含在土地取得成本中</t>
  </si>
  <si>
    <t>利息：取LPR加浮动点数</t>
  </si>
  <si>
    <t>自定义容积率</t>
  </si>
  <si>
    <t>不临65条商业街</t>
  </si>
  <si>
    <t>与级别开发程度不一致</t>
  </si>
  <si>
    <t>通路</t>
  </si>
  <si>
    <t>通电</t>
  </si>
  <si>
    <t>通讯</t>
  </si>
  <si>
    <t>通上水</t>
  </si>
  <si>
    <t>通下水</t>
  </si>
  <si>
    <t>平整</t>
  </si>
  <si>
    <t>较好</t>
  </si>
  <si>
    <t>一般</t>
  </si>
  <si>
    <t>好</t>
  </si>
  <si>
    <t>全部缴纳</t>
  </si>
  <si>
    <t>自定义</t>
  </si>
  <si>
    <t>砖混</t>
  </si>
  <si>
    <t>非生产用房</t>
  </si>
  <si>
    <t>按房产原值计税</t>
  </si>
  <si>
    <t>成本法</t>
  </si>
  <si>
    <t>容积率修正</t>
  </si>
  <si>
    <t>否</t>
  </si>
  <si>
    <t>钢混</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</si>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</sst>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4" fontId="47" fillId="12" borderId="0" xfId="0" applyNumberFormat="1" applyFont="1" applyFill="1" applyAlignment="1" applyProtection="1">
      <alignment vertical="center"/>
      <protection locked="0"/>
    </xf>
    <xf numFmtId="181" fontId="52" fillId="18" borderId="61" xfId="0" applyNumberFormat="1" applyFont="1" applyFill="1" applyBorder="1" applyAlignment="1" applyProtection="1">
      <alignment horizontal="center" vertical="center"/>
    </xf>
    <xf numFmtId="181" fontId="52" fillId="18" borderId="59" xfId="0" applyNumberFormat="1" applyFont="1" applyFill="1" applyBorder="1" applyAlignment="1" applyProtection="1">
      <alignment horizontal="center" vertical="center"/>
    </xf>
    <xf numFmtId="9" fontId="47" fillId="12" borderId="0" xfId="0" applyNumberFormat="1" applyFont="1" applyFill="1" applyAlignment="1" applyProtection="1">
      <alignment vertical="center"/>
      <protection locked="0"/>
    </xf>
    <xf numFmtId="181" fontId="47" fillId="18" borderId="8" xfId="0"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176" fontId="44" fillId="18" borderId="24" xfId="1" applyNumberFormat="1" applyFont="1" applyFill="1" applyBorder="1" applyAlignment="1" applyProtection="1">
      <alignment horizontal="center" vertical="center"/>
      <protection locked="0"/>
    </xf>
    <xf numFmtId="182" fontId="44" fillId="18" borderId="1" xfId="0"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horizontal="center" vertical="center"/>
      <protection locked="0"/>
    </xf>
    <xf numFmtId="0" fontId="44" fillId="18" borderId="1" xfId="0" applyFont="1" applyFill="1" applyBorder="1" applyAlignment="1" applyProtection="1">
      <alignment horizontal="center" vertical="center"/>
      <protection locked="0"/>
    </xf>
    <xf numFmtId="0" fontId="44" fillId="18" borderId="3" xfId="0" applyFont="1" applyFill="1" applyBorder="1" applyAlignment="1" applyProtection="1">
      <alignment vertical="center"/>
      <protection locked="0"/>
    </xf>
    <xf numFmtId="0" fontId="47" fillId="18" borderId="1" xfId="0" applyFont="1" applyFill="1" applyBorder="1" applyAlignment="1" applyProtection="1">
      <alignment horizontal="center" vertical="center"/>
      <protection locked="0"/>
    </xf>
    <xf numFmtId="181" fontId="52" fillId="18" borderId="59" xfId="0" applyNumberFormat="1" applyFont="1" applyFill="1" applyBorder="1" applyAlignment="1" applyProtection="1">
      <alignment horizontal="center" vertical="center"/>
      <protection locked="0"/>
    </xf>
    <xf numFmtId="181" fontId="52" fillId="18" borderId="6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685029</xdr:colOff>
      <xdr:row>34</xdr:row>
      <xdr:rowOff>65938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71429" cy="5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oqikay\Downloads\&#19979;&#36733;&#30340;&#25991;&#2021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1" customWidth="1"/>
    <col min="2" max="2" width="81" style="1208" customWidth="1"/>
    <col min="3" max="16384" width="9" style="1206"/>
  </cols>
  <sheetData>
    <row r="1" spans="1:2" s="1194" customFormat="1" ht="16.2" thickBot="1">
      <c r="A1" s="1193" t="s">
        <v>521</v>
      </c>
      <c r="B1" s="1192" t="s">
        <v>600</v>
      </c>
    </row>
    <row r="2" spans="1:2" s="1197" customFormat="1" ht="16.2"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6.2" thickBot="1">
      <c r="A5" s="1201" t="s">
        <v>525</v>
      </c>
      <c r="B5" s="1202" t="str">
        <f>'预评函-封皮'!B49</f>
        <v>康正预评字号</v>
      </c>
    </row>
    <row r="6" spans="1:2" s="1197" customFormat="1" ht="16.2"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估价对象为北京市房地产，为所有。根据《国有土地使用证》[]，估价对象（分摊）出让国有建设用地使用权面积为2229.49平方米，建筑面积为204.38平方米。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估价对象为北京市房地产,属开发建设的，该项目尚在开发建设中。根据《国有土地使用证》[]，估价对象（分摊）出让国有建设用地使用权面积为2229.49平方米，规划建筑面积为204.38平方米。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2022年12月22日</v>
      </c>
    </row>
    <row r="13" spans="1:2" s="1200" customFormat="1">
      <c r="A13" s="1198" t="s">
        <v>529</v>
      </c>
      <c r="B13" s="1199" t="str">
        <f>'预评函-1'!A18</f>
        <v>本次估价的“房地产价值”是指在正常市场情况下，在价值时点2022年12月22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6.2" thickBot="1">
      <c r="A18" s="1201" t="s">
        <v>534</v>
      </c>
      <c r="B18" s="1202" t="str">
        <f>'预评函-1'!A24</f>
        <v>本次评估采用的主估价方法为成本法和收益法。</v>
      </c>
    </row>
    <row r="19" spans="1:2" s="1197" customFormat="1" ht="16.2"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4068</v>
      </c>
    </row>
    <row r="21" spans="1:2" s="1200" customFormat="1">
      <c r="A21" s="1198" t="s">
        <v>537</v>
      </c>
      <c r="B21" s="1199">
        <f ca="1">'预评函-2'!D7</f>
        <v>199041</v>
      </c>
    </row>
    <row r="22" spans="1:2" s="1200" customFormat="1">
      <c r="A22" s="1198" t="s">
        <v>538</v>
      </c>
      <c r="B22" s="1199" t="str">
        <f ca="1">'预评函-2'!D6</f>
        <v>肆仟零陆拾捌万元整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4068</v>
      </c>
    </row>
    <row r="31" spans="1:2" s="1200" customFormat="1">
      <c r="A31" s="1198" t="s">
        <v>576</v>
      </c>
      <c r="B31" s="1199">
        <f ca="1">'预评函-2'!D15</f>
        <v>199041</v>
      </c>
    </row>
    <row r="32" spans="1:2" s="1200" customFormat="1">
      <c r="A32" s="1198" t="s">
        <v>543</v>
      </c>
      <c r="B32" s="1199" t="str">
        <f ca="1">'预评函-2'!D14</f>
        <v>肆仟零陆拾捌万元整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ht="31.2">
      <c r="A42" s="1198" t="s">
        <v>590</v>
      </c>
      <c r="B42" s="1199" t="str">
        <f>'预评函-3'!B2</f>
        <v>建筑面积</v>
      </c>
    </row>
    <row r="43" spans="1:2" s="1200" customFormat="1">
      <c r="A43" s="1198" t="s">
        <v>591</v>
      </c>
      <c r="B43" s="1199">
        <f>'预评函-3'!B4</f>
        <v>204.38</v>
      </c>
    </row>
    <row r="44" spans="1:2" s="1200" customFormat="1" ht="31.2">
      <c r="A44" s="1198" t="s">
        <v>575</v>
      </c>
      <c r="B44" s="1199" t="str">
        <f>'预评函-3'!C2</f>
        <v>(分摊)土地面积</v>
      </c>
    </row>
    <row r="45" spans="1:2" s="1200" customFormat="1">
      <c r="A45" s="1198" t="s">
        <v>547</v>
      </c>
      <c r="B45" s="1199">
        <f>'预评函-3'!C4</f>
        <v>2229.4899999999998</v>
      </c>
    </row>
    <row r="46" spans="1:2" s="1200" customFormat="1">
      <c r="A46" s="1198" t="s">
        <v>573</v>
      </c>
      <c r="B46" s="1199" t="str">
        <f>'预评函-3'!D2</f>
        <v>出让国有建设用地使用权价值</v>
      </c>
    </row>
    <row r="47" spans="1:2" s="1200" customFormat="1">
      <c r="A47" s="1198" t="s">
        <v>548</v>
      </c>
      <c r="B47" s="1199">
        <f ca="1">'预评函-3'!D4</f>
        <v>3909</v>
      </c>
    </row>
    <row r="48" spans="1:2" s="1200" customFormat="1">
      <c r="A48" s="1198" t="s">
        <v>549</v>
      </c>
      <c r="B48" s="1199">
        <f ca="1">'预评函-3'!E4</f>
        <v>191261</v>
      </c>
    </row>
    <row r="49" spans="1:2" s="1200" customFormat="1">
      <c r="A49" s="1198" t="s">
        <v>550</v>
      </c>
      <c r="B49" s="1199" t="str">
        <f ca="1">'预评函-3'!D5</f>
        <v>叁仟玖佰零玖万元整</v>
      </c>
    </row>
    <row r="50" spans="1:2" s="1200" customFormat="1">
      <c r="A50" s="1198" t="s">
        <v>574</v>
      </c>
      <c r="B50" s="1199" t="str">
        <f>'预评函-3'!F2</f>
        <v>在建建筑物价值</v>
      </c>
    </row>
    <row r="51" spans="1:2" s="1200" customFormat="1">
      <c r="A51" s="1198" t="s">
        <v>551</v>
      </c>
      <c r="B51" s="1199">
        <f ca="1">'预评函-3'!F4</f>
        <v>159</v>
      </c>
    </row>
    <row r="52" spans="1:2" s="1200" customFormat="1">
      <c r="A52" s="1198" t="s">
        <v>552</v>
      </c>
      <c r="B52" s="1199">
        <f ca="1">'预评函-3'!G4</f>
        <v>7780</v>
      </c>
    </row>
    <row r="53" spans="1:2" s="1200" customFormat="1">
      <c r="A53" s="1198" t="s">
        <v>580</v>
      </c>
      <c r="B53" s="1199" t="str">
        <f ca="1">'预评函-3'!F5</f>
        <v>壹佰伍拾玖万元整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6.2" thickBot="1">
      <c r="A57" s="1201" t="s">
        <v>599</v>
      </c>
      <c r="B57" s="1202" t="str">
        <f>'预评函-3'!A6</f>
        <v>估价师知悉的法定优先受偿款</v>
      </c>
    </row>
    <row r="58" spans="1:2" s="1197" customFormat="1" ht="16.2"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6.2" thickBot="1">
      <c r="A69" s="1201" t="s">
        <v>561</v>
      </c>
      <c r="B69" s="1203">
        <f>'预评函-4'!C31</f>
        <v>42551</v>
      </c>
    </row>
    <row r="70" spans="1:2" ht="16.2" thickTop="1">
      <c r="A70" s="1204" t="s">
        <v>562</v>
      </c>
      <c r="B70" s="1205">
        <f>'预评函-4'!A4</f>
        <v>0</v>
      </c>
    </row>
    <row r="71" spans="1:2">
      <c r="A71" s="1198" t="s">
        <v>563</v>
      </c>
      <c r="B71" s="1199">
        <f>'预评函-4'!B4</f>
        <v>0</v>
      </c>
    </row>
    <row r="72" spans="1:2">
      <c r="A72" s="1198" t="s">
        <v>564</v>
      </c>
      <c r="B72" s="1207">
        <f>'预评函-4'!A5</f>
        <v>0</v>
      </c>
    </row>
    <row r="73" spans="1:2" s="1194" customFormat="1" ht="16.2" thickBot="1">
      <c r="A73" s="1201" t="s">
        <v>565</v>
      </c>
      <c r="B73" s="1202">
        <f>'预评函-4'!B5</f>
        <v>0</v>
      </c>
    </row>
    <row r="74" spans="1:2" ht="16.2"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3" customWidth="1"/>
    <col min="2" max="2" width="23.21875" style="1504" customWidth="1"/>
    <col min="3" max="3" width="13" style="1548" customWidth="1"/>
    <col min="4" max="4" width="5.77734375" style="1545" customWidth="1"/>
    <col min="5" max="5" width="7.109375" style="1545" customWidth="1"/>
    <col min="6" max="6" width="10.6640625" style="1545" customWidth="1"/>
    <col min="7" max="7" width="7.44140625" style="1545" customWidth="1"/>
    <col min="8" max="8" width="11.88671875" style="1548" customWidth="1"/>
    <col min="9" max="9" width="11.6640625" style="1548" customWidth="1"/>
    <col min="10" max="10" width="9" style="1548" customWidth="1"/>
    <col min="11" max="19" width="9" style="1545" customWidth="1"/>
    <col min="20" max="23" width="9" style="1548" customWidth="1"/>
    <col min="24" max="24" width="21.109375" style="1504" customWidth="1"/>
    <col min="25" max="16384" width="9" style="1504"/>
  </cols>
  <sheetData>
    <row r="1" spans="1:23" s="1542" customFormat="1" ht="43.2">
      <c r="A1" s="1536" t="s">
        <v>44</v>
      </c>
      <c r="B1" s="1537" t="s">
        <v>977</v>
      </c>
      <c r="C1" s="1538" t="s">
        <v>314</v>
      </c>
      <c r="D1" s="1540" t="s">
        <v>3359</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3345</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3346</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3347</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3348</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3349</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3350</v>
      </c>
    </row>
    <row r="8" spans="1:23">
      <c r="A8" s="1543" t="s">
        <v>1026</v>
      </c>
      <c r="B8" s="1543" t="s">
        <v>1027</v>
      </c>
      <c r="C8" s="1544" t="s">
        <v>319</v>
      </c>
      <c r="F8" s="1545" t="s">
        <v>1028</v>
      </c>
      <c r="H8" s="1545" t="s">
        <v>2580</v>
      </c>
      <c r="I8" s="1545" t="s">
        <v>3351</v>
      </c>
    </row>
    <row r="9" spans="1:23">
      <c r="A9" s="1543" t="s">
        <v>1029</v>
      </c>
      <c r="B9" s="1543" t="s">
        <v>1030</v>
      </c>
      <c r="C9" s="1544" t="s">
        <v>320</v>
      </c>
      <c r="F9" s="1545" t="s">
        <v>1031</v>
      </c>
      <c r="H9" s="1545"/>
      <c r="I9" s="1548" t="s">
        <v>3352</v>
      </c>
    </row>
    <row r="10" spans="1:23">
      <c r="A10" s="1543" t="s">
        <v>1032</v>
      </c>
      <c r="B10" s="1543" t="s">
        <v>1033</v>
      </c>
      <c r="C10" s="1544" t="s">
        <v>321</v>
      </c>
      <c r="F10" s="1545" t="s">
        <v>2581</v>
      </c>
      <c r="I10" s="1548" t="s">
        <v>3353</v>
      </c>
    </row>
    <row r="11" spans="1:23">
      <c r="A11" s="1543" t="s">
        <v>1034</v>
      </c>
      <c r="B11" s="1543" t="s">
        <v>1035</v>
      </c>
      <c r="C11" s="1544" t="s">
        <v>322</v>
      </c>
      <c r="F11" s="1545" t="s">
        <v>13</v>
      </c>
      <c r="I11" s="1548" t="s">
        <v>3354</v>
      </c>
    </row>
    <row r="12" spans="1:23">
      <c r="A12" s="1543" t="s">
        <v>1036</v>
      </c>
      <c r="B12" s="1543" t="s">
        <v>1037</v>
      </c>
      <c r="C12" s="1544" t="s">
        <v>323</v>
      </c>
      <c r="I12" s="1548" t="s">
        <v>3355</v>
      </c>
    </row>
    <row r="13" spans="1:23">
      <c r="A13" s="1543" t="s">
        <v>1038</v>
      </c>
      <c r="B13" s="1543" t="s">
        <v>1039</v>
      </c>
      <c r="C13" s="1544" t="s">
        <v>324</v>
      </c>
      <c r="I13" s="1548" t="s">
        <v>3356</v>
      </c>
    </row>
    <row r="14" spans="1:23">
      <c r="A14" s="1543" t="s">
        <v>1040</v>
      </c>
      <c r="B14" s="1543" t="s">
        <v>1041</v>
      </c>
      <c r="C14" s="1545" t="s">
        <v>13</v>
      </c>
      <c r="I14" s="1548" t="s">
        <v>3357</v>
      </c>
    </row>
    <row r="15" spans="1:23">
      <c r="A15" s="1543" t="s">
        <v>1042</v>
      </c>
      <c r="B15" s="1543" t="s">
        <v>1043</v>
      </c>
      <c r="C15" s="1544"/>
      <c r="I15" s="1548" t="s">
        <v>3358</v>
      </c>
    </row>
    <row r="16" spans="1:23">
      <c r="A16" s="1543" t="s">
        <v>1044</v>
      </c>
      <c r="B16" s="1543" t="s">
        <v>312</v>
      </c>
      <c r="C16" s="1544"/>
    </row>
    <row r="17" spans="1:3">
      <c r="A17" s="1543" t="s">
        <v>1045</v>
      </c>
      <c r="B17" s="1543" t="s">
        <v>2293</v>
      </c>
      <c r="C17" s="1544"/>
    </row>
    <row r="18" spans="1:3">
      <c r="A18" s="1543" t="s">
        <v>1046</v>
      </c>
      <c r="B18" s="1543" t="s">
        <v>2436</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00"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1" t="s">
        <v>385</v>
      </c>
      <c r="C54" s="1548" t="s">
        <v>583</v>
      </c>
    </row>
    <row r="55" spans="1:4">
      <c r="A55" s="3500"/>
      <c r="B55" s="1551" t="s">
        <v>386</v>
      </c>
      <c r="C55" s="1548" t="s">
        <v>584</v>
      </c>
    </row>
    <row r="56" spans="1:4">
      <c r="A56" s="3500"/>
      <c r="B56" s="1551" t="s">
        <v>387</v>
      </c>
      <c r="C56" s="1548" t="s">
        <v>588</v>
      </c>
    </row>
    <row r="57" spans="1:4">
      <c r="A57" s="3500"/>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2" sqref="C2"/>
    </sheetView>
  </sheetViews>
  <sheetFormatPr defaultColWidth="15.21875" defaultRowHeight="14.4"/>
  <cols>
    <col min="1" max="7" width="15.21875" style="3013"/>
    <col min="8" max="8" width="5.44140625" style="3013" customWidth="1"/>
    <col min="9" max="13" width="9.44140625" style="3055" customWidth="1"/>
    <col min="14" max="18" width="9.44140625" style="3013" customWidth="1"/>
    <col min="19" max="16384" width="15.21875" style="3013"/>
  </cols>
  <sheetData>
    <row r="1" spans="1:18">
      <c r="A1" s="3010" t="s">
        <v>2503</v>
      </c>
      <c r="B1" s="3011"/>
      <c r="C1" s="3011"/>
      <c r="D1" s="3011"/>
      <c r="E1" s="3011"/>
      <c r="F1" s="3012"/>
      <c r="I1" s="3437" t="s">
        <v>2596</v>
      </c>
      <c r="J1" s="3224"/>
      <c r="K1" s="3224"/>
      <c r="L1" s="3224"/>
      <c r="M1" s="3224"/>
      <c r="N1" s="3438"/>
      <c r="O1" s="3438"/>
      <c r="P1" s="3438"/>
      <c r="Q1" s="3438"/>
      <c r="R1" s="3438"/>
    </row>
    <row r="2" spans="1:18">
      <c r="A2" s="3014"/>
      <c r="B2" s="3015"/>
      <c r="C2" s="3015"/>
      <c r="D2" s="3015"/>
      <c r="E2" s="3015"/>
      <c r="F2" s="3016"/>
      <c r="I2" s="3501" t="s">
        <v>2583</v>
      </c>
      <c r="J2" s="3501"/>
      <c r="K2" s="3501"/>
      <c r="L2" s="3501"/>
      <c r="M2" s="3501"/>
      <c r="N2" s="3501"/>
      <c r="O2" s="3501"/>
      <c r="P2" s="3501"/>
      <c r="Q2" s="3501"/>
      <c r="R2" s="3501"/>
    </row>
    <row r="3" spans="1:18">
      <c r="A3" s="3017" t="s">
        <v>2504</v>
      </c>
      <c r="B3" s="3018">
        <f>项目基本情况!D3</f>
        <v>44917</v>
      </c>
      <c r="C3" s="3020"/>
      <c r="D3" s="3020"/>
      <c r="E3" s="3020"/>
      <c r="F3" s="3016"/>
      <c r="I3" s="3439"/>
      <c r="J3" s="3439" t="s">
        <v>2587</v>
      </c>
      <c r="K3" s="3439" t="s">
        <v>2588</v>
      </c>
      <c r="L3" s="3439" t="s">
        <v>2589</v>
      </c>
      <c r="M3" s="3439" t="s">
        <v>2590</v>
      </c>
      <c r="N3" s="3440" t="s">
        <v>2591</v>
      </c>
      <c r="O3" s="3440" t="s">
        <v>2592</v>
      </c>
      <c r="P3" s="3440" t="s">
        <v>2593</v>
      </c>
      <c r="Q3" s="3440" t="s">
        <v>2594</v>
      </c>
      <c r="R3" s="3440" t="s">
        <v>2595</v>
      </c>
    </row>
    <row r="4" spans="1:18">
      <c r="A4" s="3017" t="s">
        <v>2505</v>
      </c>
      <c r="B4" s="3020" t="s">
        <v>2506</v>
      </c>
      <c r="C4" s="3020" t="s">
        <v>2507</v>
      </c>
      <c r="D4" s="3020" t="s">
        <v>2508</v>
      </c>
      <c r="E4" s="3020" t="s">
        <v>2509</v>
      </c>
      <c r="F4" s="3016"/>
      <c r="I4" s="3439" t="s">
        <v>2584</v>
      </c>
      <c r="J4" s="3439">
        <v>80</v>
      </c>
      <c r="K4" s="3439">
        <v>70</v>
      </c>
      <c r="L4" s="3439">
        <v>20</v>
      </c>
      <c r="M4" s="3439">
        <v>30</v>
      </c>
      <c r="N4" s="3020">
        <v>45</v>
      </c>
      <c r="O4" s="3020">
        <v>60</v>
      </c>
      <c r="P4" s="3020">
        <v>50</v>
      </c>
      <c r="Q4" s="3020">
        <v>20</v>
      </c>
      <c r="R4" s="3020">
        <v>375</v>
      </c>
    </row>
    <row r="5" spans="1:18">
      <c r="A5" s="3021">
        <v>40</v>
      </c>
      <c r="B5" s="3018">
        <v>46375</v>
      </c>
      <c r="C5" s="3020">
        <f>ROUNDDOWN(MIN((B5-B3)/365,A5),2)</f>
        <v>3.99</v>
      </c>
      <c r="D5" s="3022">
        <f>IF(ISERROR(ROUND(POWER(1+E5,A5-C5)*(POWER(1+E5,C5)-1)/(POWER(1+E5,A5)-1),3)),0,ROUND(POWER(1+E5,A5-C5)*(POWER(1+E5,C5)-1)/(POWER(1+E5,A5)-1),4))</f>
        <v>0.183</v>
      </c>
      <c r="E5" s="3023">
        <v>0.04</v>
      </c>
      <c r="F5" s="3016"/>
      <c r="I5" s="3439" t="s">
        <v>2585</v>
      </c>
      <c r="J5" s="3439">
        <v>70</v>
      </c>
      <c r="K5" s="3439">
        <v>60</v>
      </c>
      <c r="L5" s="3439">
        <v>15</v>
      </c>
      <c r="M5" s="3439">
        <v>25</v>
      </c>
      <c r="N5" s="3020">
        <v>40</v>
      </c>
      <c r="O5" s="3020">
        <v>50</v>
      </c>
      <c r="P5" s="3020">
        <v>40</v>
      </c>
      <c r="Q5" s="3020">
        <v>15</v>
      </c>
      <c r="R5" s="3020">
        <v>315</v>
      </c>
    </row>
    <row r="6" spans="1:18">
      <c r="A6" s="3021">
        <v>50</v>
      </c>
      <c r="B6" s="3018">
        <v>50028</v>
      </c>
      <c r="C6" s="3020">
        <f>ROUNDDOWN(MIN((B6-B3)/365,A6),2)</f>
        <v>14</v>
      </c>
      <c r="D6" s="3022">
        <f>IF(ISERROR(ROUND(POWER(1+E6,A6-C6)*(POWER(1+E6,C6)-1)/(POWER(1+E6,A6)-1),3)),0,ROUND(POWER(1+E6,A6-C6)*(POWER(1+E6,C6)-1)/(POWER(1+E6,A6)-1),4))</f>
        <v>0.49170000000000003</v>
      </c>
      <c r="E6" s="3023">
        <v>0.04</v>
      </c>
      <c r="F6" s="3016"/>
      <c r="I6" s="3439" t="s">
        <v>2586</v>
      </c>
      <c r="J6" s="3439">
        <v>60</v>
      </c>
      <c r="K6" s="3439">
        <v>50</v>
      </c>
      <c r="L6" s="3439">
        <v>10</v>
      </c>
      <c r="M6" s="3439">
        <v>20</v>
      </c>
      <c r="N6" s="3020">
        <v>35</v>
      </c>
      <c r="O6" s="3020">
        <v>40</v>
      </c>
      <c r="P6" s="3020">
        <v>30</v>
      </c>
      <c r="Q6" s="3020">
        <v>10</v>
      </c>
      <c r="R6" s="3020">
        <v>255</v>
      </c>
    </row>
    <row r="7" spans="1:18">
      <c r="A7" s="3021">
        <v>70</v>
      </c>
      <c r="B7" s="3018">
        <v>57333</v>
      </c>
      <c r="C7" s="3020">
        <f>ROUNDDOWN(MIN((B7-B3)/365,A7),2)</f>
        <v>34.01</v>
      </c>
      <c r="D7" s="3022">
        <f>IF(ISERROR(ROUND(POWER(1+E7,A7-C7)*(POWER(1+E7,C7)-1)/(POWER(1+E7,A7)-1),3)),0,ROUND(POWER(1+E7,A7-C7)*(POWER(1+E7,C7)-1)/(POWER(1+E7,A7)-1),4))</f>
        <v>0.78710000000000002</v>
      </c>
      <c r="E7" s="3023">
        <v>0.04</v>
      </c>
      <c r="F7" s="3016"/>
    </row>
    <row r="8" spans="1:18">
      <c r="A8" s="3014"/>
      <c r="B8" s="3015"/>
      <c r="C8" s="3015"/>
      <c r="D8" s="3015"/>
      <c r="E8" s="3015"/>
      <c r="F8" s="3016"/>
    </row>
    <row r="9" spans="1:18">
      <c r="A9" s="3017" t="s">
        <v>2510</v>
      </c>
      <c r="B9" s="3020"/>
      <c r="C9" s="3020"/>
      <c r="D9" s="3020"/>
      <c r="E9" s="3020"/>
      <c r="F9" s="3024"/>
    </row>
    <row r="10" spans="1:18">
      <c r="A10" s="3017" t="s">
        <v>2511</v>
      </c>
      <c r="B10" s="3020"/>
      <c r="C10" s="3020"/>
      <c r="D10" s="3020" t="s">
        <v>2509</v>
      </c>
      <c r="E10" s="3020"/>
      <c r="F10" s="3024" t="s">
        <v>2508</v>
      </c>
    </row>
    <row r="11" spans="1:18">
      <c r="A11" s="3017" t="s">
        <v>2512</v>
      </c>
      <c r="B11" s="3025">
        <v>70</v>
      </c>
      <c r="C11" s="3020" t="s">
        <v>2513</v>
      </c>
      <c r="D11" s="3026">
        <v>4.4999999999999998E-2</v>
      </c>
      <c r="E11" s="3020" t="s">
        <v>2514</v>
      </c>
      <c r="F11" s="3027">
        <f>ROUND(1-(1/(POWER(1+D11,B11))),4)</f>
        <v>0.95409999999999995</v>
      </c>
    </row>
    <row r="12" spans="1:18">
      <c r="A12" s="3017" t="s">
        <v>2515</v>
      </c>
      <c r="B12" s="3025">
        <v>40</v>
      </c>
      <c r="C12" s="3020" t="s">
        <v>2516</v>
      </c>
      <c r="D12" s="3026">
        <v>4.4999999999999998E-2</v>
      </c>
      <c r="E12" s="3020" t="s">
        <v>2517</v>
      </c>
      <c r="F12" s="3027">
        <f>ROUND(1-(1/(POWER(1+D12,B12))),4)</f>
        <v>0.82809999999999995</v>
      </c>
    </row>
    <row r="13" spans="1:18">
      <c r="A13" s="3017" t="s">
        <v>2518</v>
      </c>
      <c r="B13" s="3020"/>
      <c r="C13" s="3020"/>
      <c r="D13" s="3015"/>
      <c r="E13" s="3015"/>
      <c r="F13" s="3016"/>
    </row>
    <row r="14" spans="1:18">
      <c r="A14" s="3017" t="s">
        <v>2519</v>
      </c>
      <c r="B14" s="3025">
        <v>5000</v>
      </c>
      <c r="C14" s="3019"/>
      <c r="D14" s="3015"/>
      <c r="E14" s="3015"/>
      <c r="F14" s="3016"/>
    </row>
    <row r="15" spans="1:18">
      <c r="A15" s="3017" t="s">
        <v>2520</v>
      </c>
      <c r="B15" s="3020">
        <f>ROUND(B14*F12/F11,2)</f>
        <v>4339.6899999999996</v>
      </c>
      <c r="C15" s="3020">
        <f>ROUND(F12/F11,4)</f>
        <v>0.8679</v>
      </c>
      <c r="D15" s="3015"/>
      <c r="E15" s="3015"/>
      <c r="F15" s="3016"/>
    </row>
    <row r="16" spans="1:18">
      <c r="A16" s="3017" t="s">
        <v>2521</v>
      </c>
      <c r="B16" s="3020"/>
      <c r="C16" s="3020"/>
      <c r="D16" s="3015"/>
      <c r="E16" s="3015"/>
      <c r="F16" s="3016"/>
    </row>
    <row r="17" spans="1:13">
      <c r="A17" s="3017" t="s">
        <v>2520</v>
      </c>
      <c r="B17" s="3026">
        <v>4810</v>
      </c>
      <c r="C17" s="3019"/>
      <c r="D17" s="3015"/>
      <c r="E17" s="3015"/>
      <c r="F17" s="3016"/>
    </row>
    <row r="18" spans="1:13" ht="15" thickBot="1">
      <c r="A18" s="3028" t="s">
        <v>2519</v>
      </c>
      <c r="B18" s="3029">
        <f>ROUND(B17*F11/F12,2)</f>
        <v>5541.87</v>
      </c>
      <c r="C18" s="3029">
        <f>ROUND(F11/F12,4)</f>
        <v>1.1521999999999999</v>
      </c>
      <c r="D18" s="3030"/>
      <c r="E18" s="3030"/>
      <c r="F18" s="3031"/>
    </row>
    <row r="19" spans="1:13" ht="15" thickBot="1"/>
    <row r="20" spans="1:13" s="3066" customFormat="1" ht="15" thickTop="1">
      <c r="A20" s="3063" t="s">
        <v>2522</v>
      </c>
      <c r="B20" s="3064"/>
      <c r="C20" s="3064"/>
      <c r="D20" s="3064"/>
      <c r="E20" s="3064"/>
      <c r="F20" s="3064"/>
      <c r="G20" s="3065"/>
      <c r="I20" s="3067" t="s">
        <v>2567</v>
      </c>
      <c r="J20" s="3067" t="s">
        <v>2572</v>
      </c>
      <c r="K20" s="3067"/>
      <c r="L20" s="3067"/>
      <c r="M20" s="3067"/>
    </row>
    <row r="21" spans="1:13">
      <c r="A21" s="3032"/>
      <c r="B21" s="3033" t="s">
        <v>2523</v>
      </c>
      <c r="C21" s="3033" t="s">
        <v>2524</v>
      </c>
      <c r="D21" s="3033" t="s">
        <v>2525</v>
      </c>
      <c r="E21" s="3033" t="s">
        <v>2526</v>
      </c>
      <c r="F21" s="3033" t="s">
        <v>2527</v>
      </c>
      <c r="G21" s="3034" t="s">
        <v>2528</v>
      </c>
      <c r="I21" s="3055">
        <v>5</v>
      </c>
      <c r="J21" s="3055">
        <v>54.2</v>
      </c>
    </row>
    <row r="22" spans="1:13">
      <c r="A22" s="3032" t="s">
        <v>2529</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2530</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2570</v>
      </c>
      <c r="M23" s="3055" t="s">
        <v>2571</v>
      </c>
    </row>
    <row r="24" spans="1:13">
      <c r="A24" s="3032" t="s">
        <v>2531</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2569</v>
      </c>
      <c r="M24" s="3055">
        <v>10</v>
      </c>
    </row>
    <row r="25" spans="1:13">
      <c r="A25" s="3032" t="s">
        <v>2532</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2573</v>
      </c>
      <c r="M25" s="3055">
        <v>8</v>
      </c>
    </row>
    <row r="26" spans="1:13">
      <c r="A26" s="3037"/>
      <c r="B26" s="3038"/>
      <c r="C26" s="3038"/>
      <c r="D26" s="3038"/>
      <c r="E26" s="3038"/>
      <c r="F26" s="3038"/>
      <c r="G26" s="3039"/>
      <c r="I26" s="3055">
        <v>30</v>
      </c>
      <c r="J26" s="3055">
        <v>90.5</v>
      </c>
      <c r="K26" s="3055">
        <f t="shared" si="2"/>
        <v>4.2000000000000028</v>
      </c>
      <c r="L26" s="3055" t="s">
        <v>2574</v>
      </c>
      <c r="M26" s="3055">
        <v>5</v>
      </c>
    </row>
    <row r="27" spans="1:13">
      <c r="A27" s="3037" t="s">
        <v>2533</v>
      </c>
      <c r="B27" s="3038"/>
      <c r="C27" s="3038"/>
      <c r="D27" s="3038"/>
      <c r="E27" s="3038"/>
      <c r="F27" s="3038"/>
      <c r="G27" s="3039"/>
      <c r="I27" s="3055">
        <v>35</v>
      </c>
      <c r="J27" s="3055">
        <v>93.8</v>
      </c>
      <c r="K27" s="3055">
        <f t="shared" si="2"/>
        <v>3.2999999999999972</v>
      </c>
      <c r="L27" s="3055" t="s">
        <v>2575</v>
      </c>
      <c r="M27" s="3055">
        <v>3</v>
      </c>
    </row>
    <row r="28" spans="1:13">
      <c r="A28" s="3037" t="s">
        <v>2534</v>
      </c>
      <c r="B28" s="3038"/>
      <c r="C28" s="3038"/>
      <c r="D28" s="3038"/>
      <c r="E28" s="3038"/>
      <c r="F28" s="3038"/>
      <c r="G28" s="3039"/>
      <c r="I28" s="3055">
        <v>40</v>
      </c>
      <c r="J28" s="3055">
        <v>96.4</v>
      </c>
      <c r="K28" s="3055">
        <f t="shared" si="2"/>
        <v>2.6000000000000085</v>
      </c>
      <c r="L28" s="3055" t="s">
        <v>2576</v>
      </c>
      <c r="M28" s="3055">
        <v>2</v>
      </c>
    </row>
    <row r="29" spans="1:13">
      <c r="A29" s="3037" t="s">
        <v>2535</v>
      </c>
      <c r="B29" s="3038"/>
      <c r="C29" s="3038"/>
      <c r="D29" s="3038"/>
      <c r="E29" s="3038"/>
      <c r="F29" s="3038"/>
      <c r="G29" s="3039"/>
      <c r="I29" s="3055">
        <v>45</v>
      </c>
      <c r="J29" s="3055">
        <v>98.4</v>
      </c>
      <c r="K29" s="3055">
        <f t="shared" si="2"/>
        <v>2</v>
      </c>
    </row>
    <row r="30" spans="1:13">
      <c r="A30" s="3037" t="s">
        <v>2536</v>
      </c>
      <c r="B30" s="3038"/>
      <c r="C30" s="3038"/>
      <c r="D30" s="3038"/>
      <c r="E30" s="3038"/>
      <c r="F30" s="3038"/>
      <c r="G30" s="3039"/>
      <c r="I30" s="3055">
        <v>50</v>
      </c>
      <c r="J30" s="3055">
        <v>100</v>
      </c>
      <c r="K30" s="3055">
        <f t="shared" si="2"/>
        <v>1.5999999999999943</v>
      </c>
    </row>
    <row r="31" spans="1:13">
      <c r="A31" s="3037" t="s">
        <v>2537</v>
      </c>
      <c r="B31" s="3038"/>
      <c r="C31" s="3038"/>
      <c r="D31" s="3038"/>
      <c r="E31" s="3038"/>
      <c r="F31" s="3038"/>
      <c r="G31" s="3039"/>
      <c r="I31" s="3055" t="s">
        <v>2568</v>
      </c>
    </row>
    <row r="32" spans="1:13">
      <c r="A32" s="3037" t="s">
        <v>2538</v>
      </c>
      <c r="B32" s="3038"/>
      <c r="C32" s="3038"/>
      <c r="D32" s="3038"/>
      <c r="E32" s="3038"/>
      <c r="F32" s="3038"/>
      <c r="G32" s="3039"/>
    </row>
    <row r="33" spans="1:13">
      <c r="A33" s="3037" t="s">
        <v>2539</v>
      </c>
      <c r="B33" s="3038"/>
      <c r="C33" s="3038"/>
      <c r="D33" s="3038"/>
      <c r="E33" s="3038"/>
      <c r="F33" s="3038"/>
      <c r="G33" s="3039"/>
      <c r="I33" s="3055" t="s">
        <v>2567</v>
      </c>
      <c r="J33" s="3055" t="s">
        <v>2577</v>
      </c>
    </row>
    <row r="34" spans="1:13">
      <c r="A34" s="3037" t="s">
        <v>2540</v>
      </c>
      <c r="B34" s="3038"/>
      <c r="C34" s="3038"/>
      <c r="D34" s="3038"/>
      <c r="E34" s="3038"/>
      <c r="F34" s="3038"/>
      <c r="G34" s="3039"/>
      <c r="I34" s="3055">
        <v>5</v>
      </c>
      <c r="J34" s="3055">
        <v>55.1</v>
      </c>
    </row>
    <row r="35" spans="1:13">
      <c r="A35" s="3037" t="s">
        <v>2541</v>
      </c>
      <c r="B35" s="3038"/>
      <c r="C35" s="3038"/>
      <c r="D35" s="3038"/>
      <c r="E35" s="3038"/>
      <c r="F35" s="3038"/>
      <c r="G35" s="3039"/>
      <c r="I35" s="3055">
        <v>10</v>
      </c>
      <c r="J35" s="3055">
        <v>67</v>
      </c>
      <c r="K35" s="3055">
        <f>J35-J34</f>
        <v>11.899999999999999</v>
      </c>
    </row>
    <row r="36" spans="1:13">
      <c r="A36" s="3037" t="s">
        <v>2542</v>
      </c>
      <c r="B36" s="3038"/>
      <c r="C36" s="3038"/>
      <c r="D36" s="3038"/>
      <c r="E36" s="3038"/>
      <c r="F36" s="3038"/>
      <c r="G36" s="3039"/>
      <c r="I36" s="3055">
        <v>15</v>
      </c>
      <c r="J36" s="3055">
        <v>76.3</v>
      </c>
      <c r="K36" s="3055">
        <f t="shared" ref="K36:K41" si="3">J36-J35</f>
        <v>9.2999999999999972</v>
      </c>
      <c r="L36" s="3055" t="s">
        <v>2570</v>
      </c>
      <c r="M36" s="3055" t="s">
        <v>2571</v>
      </c>
    </row>
    <row r="37" spans="1:13">
      <c r="A37" s="3037" t="s">
        <v>2543</v>
      </c>
      <c r="B37" s="3038"/>
      <c r="C37" s="3038"/>
      <c r="D37" s="3038"/>
      <c r="E37" s="3038"/>
      <c r="F37" s="3038"/>
      <c r="G37" s="3039"/>
      <c r="I37" s="3055">
        <v>20</v>
      </c>
      <c r="J37" s="3055">
        <v>83.6</v>
      </c>
      <c r="K37" s="3055">
        <f t="shared" si="3"/>
        <v>7.2999999999999972</v>
      </c>
      <c r="L37" s="3055" t="s">
        <v>2569</v>
      </c>
      <c r="M37" s="3055">
        <v>10</v>
      </c>
    </row>
    <row r="38" spans="1:13">
      <c r="A38" s="3037" t="s">
        <v>2544</v>
      </c>
      <c r="B38" s="3038"/>
      <c r="C38" s="3038"/>
      <c r="D38" s="3038"/>
      <c r="E38" s="3038"/>
      <c r="F38" s="3038"/>
      <c r="G38" s="3039"/>
      <c r="I38" s="3055">
        <v>25</v>
      </c>
      <c r="J38" s="3055">
        <v>89.3</v>
      </c>
      <c r="K38" s="3055">
        <f t="shared" si="3"/>
        <v>5.7000000000000028</v>
      </c>
      <c r="L38" s="3055" t="s">
        <v>2573</v>
      </c>
      <c r="M38" s="3055">
        <v>8</v>
      </c>
    </row>
    <row r="39" spans="1:13">
      <c r="A39" s="3037"/>
      <c r="B39" s="3038"/>
      <c r="C39" s="3038"/>
      <c r="D39" s="3038"/>
      <c r="E39" s="3038"/>
      <c r="F39" s="3038"/>
      <c r="G39" s="3039"/>
      <c r="I39" s="3055">
        <v>30</v>
      </c>
      <c r="J39" s="3055">
        <v>93.8</v>
      </c>
      <c r="K39" s="3055">
        <f t="shared" si="3"/>
        <v>4.5</v>
      </c>
      <c r="L39" s="3055" t="s">
        <v>2574</v>
      </c>
      <c r="M39" s="3055">
        <v>6</v>
      </c>
    </row>
    <row r="40" spans="1:13">
      <c r="A40" s="3040" t="s">
        <v>2545</v>
      </c>
      <c r="B40" s="3041"/>
      <c r="C40" s="3041"/>
      <c r="D40" s="3041"/>
      <c r="E40" s="3041"/>
      <c r="F40" s="3041"/>
      <c r="G40" s="3042"/>
      <c r="I40" s="3055">
        <v>35</v>
      </c>
      <c r="J40" s="3055">
        <v>97.2</v>
      </c>
      <c r="K40" s="3055">
        <f t="shared" si="3"/>
        <v>3.4000000000000057</v>
      </c>
      <c r="L40" s="3055" t="s">
        <v>2575</v>
      </c>
      <c r="M40" s="3055">
        <v>3</v>
      </c>
    </row>
    <row r="41" spans="1:13">
      <c r="A41" s="3043" t="s">
        <v>2546</v>
      </c>
      <c r="B41" s="3044" t="s">
        <v>2547</v>
      </c>
      <c r="C41" s="3045" t="s">
        <v>2548</v>
      </c>
      <c r="D41" s="3045" t="s">
        <v>2549</v>
      </c>
      <c r="E41" s="3046"/>
      <c r="F41" s="3047"/>
      <c r="G41" s="3048"/>
      <c r="I41" s="3055">
        <v>40</v>
      </c>
      <c r="J41" s="3055">
        <v>100</v>
      </c>
      <c r="K41" s="3055">
        <f t="shared" si="3"/>
        <v>2.7999999999999972</v>
      </c>
    </row>
    <row r="42" spans="1:13">
      <c r="A42" s="3043" t="s">
        <v>2550</v>
      </c>
      <c r="B42" s="3044" t="s">
        <v>2551</v>
      </c>
      <c r="C42" s="3045" t="s">
        <v>2552</v>
      </c>
      <c r="D42" s="3049" t="s">
        <v>2553</v>
      </c>
      <c r="E42" s="3041" t="s">
        <v>2554</v>
      </c>
      <c r="F42" s="3041"/>
      <c r="G42" s="3042"/>
    </row>
    <row r="43" spans="1:13">
      <c r="A43" s="3043" t="s">
        <v>2555</v>
      </c>
      <c r="B43" s="3044" t="s">
        <v>2556</v>
      </c>
      <c r="C43" s="3045" t="s">
        <v>2557</v>
      </c>
      <c r="D43" s="3045" t="s">
        <v>2558</v>
      </c>
      <c r="E43" s="3046" t="s">
        <v>2559</v>
      </c>
      <c r="F43" s="3047"/>
      <c r="G43" s="3048"/>
      <c r="I43" s="3055" t="s">
        <v>2567</v>
      </c>
      <c r="J43" s="3055" t="s">
        <v>2578</v>
      </c>
    </row>
    <row r="44" spans="1:13">
      <c r="A44" s="3043" t="s">
        <v>2560</v>
      </c>
      <c r="B44" s="3044" t="s">
        <v>2561</v>
      </c>
      <c r="C44" s="3045" t="s">
        <v>2562</v>
      </c>
      <c r="D44" s="3049">
        <v>0.5</v>
      </c>
      <c r="E44" s="3046" t="s">
        <v>2563</v>
      </c>
      <c r="F44" s="3047"/>
      <c r="G44" s="3048"/>
      <c r="I44" s="3055">
        <v>30</v>
      </c>
      <c r="J44" s="3055">
        <v>81.7</v>
      </c>
    </row>
    <row r="45" spans="1:13" ht="15" thickBot="1">
      <c r="A45" s="3050" t="s">
        <v>2564</v>
      </c>
      <c r="B45" s="3051" t="s">
        <v>2551</v>
      </c>
      <c r="C45" s="3052" t="s">
        <v>2551</v>
      </c>
      <c r="D45" s="3052" t="s">
        <v>2565</v>
      </c>
      <c r="E45" s="3053" t="s">
        <v>2566</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38" sqref="B38"/>
    </sheetView>
  </sheetViews>
  <sheetFormatPr defaultColWidth="10" defaultRowHeight="13.2"/>
  <cols>
    <col min="1" max="1" width="16.88671875" style="1742" customWidth="1"/>
    <col min="2" max="2" width="10" style="1742" customWidth="1"/>
    <col min="3" max="3" width="11.44140625" style="1742" customWidth="1"/>
    <col min="4" max="4" width="10" style="1742" customWidth="1"/>
    <col min="5" max="5" width="12.6640625" style="1742" customWidth="1"/>
    <col min="6" max="6" width="10" style="1742" customWidth="1"/>
    <col min="7" max="7" width="10.77734375" style="1742" customWidth="1"/>
    <col min="8" max="8" width="10" style="1742" customWidth="1"/>
    <col min="9" max="9" width="11.10937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8" thickBot="1">
      <c r="A1" s="2363" t="s">
        <v>2168</v>
      </c>
      <c r="B1" s="3510" t="str">
        <f>IF(B10="北京市","北京市",C10)&amp;F10&amp;IF(结果表!G1="在建","出让国有建设用地使用权及在建建筑物",IF(结果表!G1="土地","出让国有建设用地使用权",))&amp;B9&amp;"预评估"</f>
        <v>北京市房地产抵押价值预评估</v>
      </c>
      <c r="C1" s="3511"/>
      <c r="D1" s="3511"/>
      <c r="E1" s="3511"/>
      <c r="F1" s="3511"/>
      <c r="G1" s="3511"/>
      <c r="H1" s="3511"/>
      <c r="I1" s="3512"/>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2169</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0" t="s">
        <v>2170</v>
      </c>
      <c r="B3" s="2370"/>
      <c r="C3" s="2371" t="s">
        <v>2171</v>
      </c>
      <c r="D3" s="2370">
        <v>44917</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8" thickBot="1">
      <c r="A4" s="1087"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8" thickTop="1">
      <c r="A5" s="2376" t="s">
        <v>2173</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2174</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2175</v>
      </c>
      <c r="B7" s="2384"/>
      <c r="C7" s="2382"/>
      <c r="D7" s="2383"/>
      <c r="E7" s="2659"/>
      <c r="F7" s="2661"/>
      <c r="G7" s="2661"/>
      <c r="H7" s="2661"/>
      <c r="I7" s="2661"/>
      <c r="J7" s="2436"/>
      <c r="K7" s="2613"/>
      <c r="L7" s="2610"/>
      <c r="M7" s="2610"/>
      <c r="N7" s="2436"/>
      <c r="O7" s="2447"/>
      <c r="P7" s="2436"/>
      <c r="Q7" s="2436"/>
      <c r="R7" s="2436"/>
    </row>
    <row r="8" spans="1:30">
      <c r="A8" s="2385" t="s">
        <v>2176</v>
      </c>
      <c r="B8" s="2386" t="s">
        <v>3374</v>
      </c>
      <c r="C8" s="2387"/>
      <c r="D8" s="3513" t="s">
        <v>2177</v>
      </c>
      <c r="E8" s="2388" t="s">
        <v>3375</v>
      </c>
      <c r="F8" s="2389"/>
      <c r="G8" s="2660"/>
      <c r="H8" s="2660"/>
      <c r="I8" s="2660"/>
      <c r="J8" s="2436"/>
      <c r="K8" s="2611"/>
      <c r="L8" s="2610"/>
      <c r="M8" s="2610"/>
      <c r="N8" s="2436"/>
      <c r="O8" s="2447"/>
      <c r="P8" s="2436"/>
      <c r="Q8" s="2436"/>
      <c r="R8" s="2436"/>
    </row>
    <row r="9" spans="1:30" ht="13.8" thickBot="1">
      <c r="A9" s="2390" t="s">
        <v>2178</v>
      </c>
      <c r="B9" s="2391" t="s">
        <v>3375</v>
      </c>
      <c r="C9" s="2392"/>
      <c r="D9" s="3514"/>
      <c r="E9" s="2391"/>
      <c r="F9" s="2393"/>
      <c r="G9" s="2662"/>
      <c r="H9" s="2662"/>
      <c r="I9" s="2662"/>
      <c r="J9" s="2436"/>
      <c r="K9" s="2613"/>
      <c r="L9" s="2610"/>
      <c r="M9" s="2610"/>
      <c r="N9" s="2436"/>
      <c r="O9" s="2447"/>
      <c r="P9" s="2436"/>
      <c r="Q9" s="2436"/>
      <c r="R9" s="2436"/>
    </row>
    <row r="10" spans="1:30" ht="13.8" thickTop="1">
      <c r="A10" s="2394" t="s">
        <v>2179</v>
      </c>
      <c r="B10" s="2395" t="s">
        <v>3376</v>
      </c>
      <c r="C10" s="2396"/>
      <c r="D10" s="2379"/>
      <c r="E10" s="2397" t="s">
        <v>2180</v>
      </c>
      <c r="F10" s="2663"/>
      <c r="G10" s="2664"/>
      <c r="H10" s="2665"/>
      <c r="I10" s="2666"/>
      <c r="J10" s="2436"/>
      <c r="K10" s="2613"/>
      <c r="L10" s="2610"/>
      <c r="M10" s="2610"/>
      <c r="N10" s="2436"/>
      <c r="O10" s="2447"/>
      <c r="P10" s="2436"/>
      <c r="Q10" s="2436"/>
      <c r="R10" s="2436"/>
    </row>
    <row r="11" spans="1:30">
      <c r="A11" s="2398" t="s">
        <v>2181</v>
      </c>
      <c r="B11" s="2399" t="s">
        <v>3377</v>
      </c>
      <c r="C11" s="2400"/>
      <c r="D11" s="2401"/>
      <c r="E11" s="2367"/>
      <c r="F11" s="2367"/>
      <c r="G11" s="2367"/>
      <c r="H11" s="2367"/>
      <c r="I11" s="2367"/>
      <c r="J11" s="3058"/>
      <c r="K11" s="3057"/>
      <c r="L11" s="2610"/>
      <c r="M11" s="2610"/>
      <c r="N11" s="2436"/>
      <c r="O11" s="2447"/>
      <c r="P11" s="2436"/>
      <c r="Q11" s="2436"/>
      <c r="R11" s="2436"/>
    </row>
    <row r="12" spans="1:30">
      <c r="A12" s="2402" t="s">
        <v>2182</v>
      </c>
      <c r="B12" s="321" t="s">
        <v>2183</v>
      </c>
      <c r="C12" s="2403" t="s">
        <v>2184</v>
      </c>
      <c r="D12" s="2403" t="s">
        <v>2185</v>
      </c>
      <c r="E12" s="2403" t="s">
        <v>2186</v>
      </c>
      <c r="F12" s="2403" t="s">
        <v>2187</v>
      </c>
      <c r="G12" s="2403" t="s">
        <v>2188</v>
      </c>
      <c r="H12" s="2403" t="s">
        <v>2189</v>
      </c>
      <c r="I12" s="3056" t="s">
        <v>2579</v>
      </c>
      <c r="J12" s="3059"/>
      <c r="K12" s="2610"/>
      <c r="L12" s="2610"/>
      <c r="M12" s="2436"/>
      <c r="N12" s="2447"/>
      <c r="O12" s="2436"/>
      <c r="P12" s="2436"/>
      <c r="Q12" s="2436"/>
      <c r="AD12" s="1742"/>
    </row>
    <row r="13" spans="1:30">
      <c r="A13" s="3422" t="s">
        <v>3341</v>
      </c>
      <c r="B13" s="2404" t="s">
        <v>2190</v>
      </c>
      <c r="C13" s="854"/>
      <c r="D13" s="854">
        <v>51981</v>
      </c>
      <c r="E13" s="854"/>
      <c r="F13" s="854"/>
      <c r="G13" s="854"/>
      <c r="H13" s="854"/>
      <c r="I13" s="854"/>
      <c r="J13" s="3059"/>
      <c r="K13" s="2610"/>
      <c r="L13" s="2610"/>
      <c r="M13" s="2436"/>
      <c r="N13" s="2447"/>
      <c r="O13" s="2436"/>
      <c r="P13" s="2436"/>
      <c r="Q13" s="2436"/>
      <c r="AD13" s="1742"/>
    </row>
    <row r="14" spans="1:30">
      <c r="A14" s="1078"/>
      <c r="B14" s="2404" t="s">
        <v>2191</v>
      </c>
      <c r="C14" s="2405"/>
      <c r="D14" s="2405">
        <v>40</v>
      </c>
      <c r="E14" s="2405"/>
      <c r="F14" s="2405"/>
      <c r="G14" s="2405"/>
      <c r="H14" s="2405"/>
      <c r="I14" s="2405"/>
      <c r="J14" s="3060"/>
      <c r="K14" s="2610"/>
      <c r="L14" s="2610"/>
      <c r="M14" s="2436"/>
      <c r="N14" s="2447"/>
      <c r="O14" s="2436"/>
      <c r="P14" s="2436"/>
      <c r="Q14" s="2436"/>
      <c r="AD14" s="1742"/>
    </row>
    <row r="15" spans="1:30">
      <c r="A15" s="318"/>
      <c r="B15" s="2406" t="s">
        <v>2192</v>
      </c>
      <c r="C15" s="2407" t="str">
        <f>IF(A13="出让",IF(C13="","",ROUNDDOWN(MIN((C13-$D$3)/365,C14),2)),C14)</f>
        <v/>
      </c>
      <c r="D15" s="2407">
        <f>IF(A13="出让",IF(D13="","",ROUNDDOWN(MIN((D13-$D$3)/365,D14),2)),D14)</f>
        <v>19.350000000000001</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2"/>
    </row>
    <row r="16" spans="1:30">
      <c r="A16" s="2397" t="s">
        <v>2193</v>
      </c>
      <c r="B16" s="3520"/>
      <c r="C16" s="3521"/>
      <c r="D16" s="3522"/>
      <c r="E16" s="2410" t="s">
        <v>2194</v>
      </c>
      <c r="F16" s="3523"/>
      <c r="G16" s="3524"/>
      <c r="H16" s="3524"/>
      <c r="I16" s="3525"/>
      <c r="J16" s="2436"/>
      <c r="K16" s="2614"/>
      <c r="L16" s="2448"/>
      <c r="M16" s="2448"/>
      <c r="N16" s="2506"/>
      <c r="O16" s="2448"/>
      <c r="P16" s="2506"/>
      <c r="Q16" s="2436"/>
      <c r="R16" s="2436"/>
    </row>
    <row r="17" spans="1:28">
      <c r="A17" s="311" t="s">
        <v>2195</v>
      </c>
      <c r="B17" s="300" t="s">
        <v>2196</v>
      </c>
      <c r="C17" s="8">
        <f>'数据-汇总表'!E3</f>
        <v>204.38</v>
      </c>
      <c r="D17" s="2319" t="s">
        <v>2197</v>
      </c>
      <c r="E17" s="3526" t="s">
        <v>2198</v>
      </c>
      <c r="F17" s="3527"/>
      <c r="G17" s="3527"/>
      <c r="H17" s="3527"/>
      <c r="I17" s="3528"/>
      <c r="J17" s="2436"/>
      <c r="K17" s="2615"/>
      <c r="L17" s="2448"/>
      <c r="M17" s="2448"/>
      <c r="N17" s="2506"/>
      <c r="O17" s="2448"/>
      <c r="P17" s="2506"/>
      <c r="Q17" s="2436"/>
      <c r="R17" s="2436"/>
      <c r="S17" s="2436"/>
      <c r="T17" s="2436"/>
      <c r="U17" s="2436"/>
      <c r="V17" s="2436"/>
    </row>
    <row r="18" spans="1:28" ht="24.6" thickBot="1">
      <c r="A18" s="2411" t="s">
        <v>2199</v>
      </c>
      <c r="B18" s="1087" t="s">
        <v>2200</v>
      </c>
      <c r="C18" s="2412">
        <f>'数据-汇总表'!D3</f>
        <v>2229.4899999999998</v>
      </c>
      <c r="D18" s="1089" t="s">
        <v>2201</v>
      </c>
      <c r="E18" s="3529" t="s">
        <v>2202</v>
      </c>
      <c r="F18" s="3530"/>
      <c r="G18" s="3530"/>
      <c r="H18" s="3530"/>
      <c r="I18" s="3531"/>
      <c r="J18" s="2436"/>
      <c r="K18" s="2615"/>
      <c r="L18" s="2448"/>
      <c r="M18" s="2448"/>
      <c r="N18" s="2506"/>
      <c r="O18" s="2448"/>
      <c r="P18" s="2506"/>
      <c r="Q18" s="2436"/>
      <c r="R18" s="2436"/>
      <c r="S18" s="2436"/>
      <c r="T18" s="2436"/>
      <c r="U18" s="2436"/>
      <c r="V18" s="2436"/>
    </row>
    <row r="19" spans="1:28" ht="37.200000000000003" thickTop="1" thickBot="1">
      <c r="A19" s="325" t="s">
        <v>1055</v>
      </c>
      <c r="B19" s="305" t="s">
        <v>2203</v>
      </c>
      <c r="C19" s="1560"/>
      <c r="D19" s="1561" t="s">
        <v>2204</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2205</v>
      </c>
      <c r="B20" s="3516" t="s">
        <v>2206</v>
      </c>
      <c r="C20" s="3517"/>
      <c r="D20" s="3518" t="s">
        <v>2207</v>
      </c>
      <c r="E20" s="3519"/>
      <c r="F20" s="2644" t="s">
        <v>1056</v>
      </c>
      <c r="G20" s="2661"/>
      <c r="H20" s="2661"/>
      <c r="I20" s="2661"/>
      <c r="J20" s="2436"/>
      <c r="K20" s="3515"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36.6" thickBot="1">
      <c r="A21" s="2629"/>
      <c r="B21" s="2630" t="s">
        <v>2209</v>
      </c>
      <c r="C21" s="2631" t="s">
        <v>1057</v>
      </c>
      <c r="D21" s="1565" t="s">
        <v>2210</v>
      </c>
      <c r="E21" s="2632" t="s">
        <v>1057</v>
      </c>
      <c r="F21" s="2645"/>
      <c r="G21" s="2661"/>
      <c r="H21" s="2661"/>
      <c r="I21" s="2661"/>
      <c r="J21" s="2436"/>
      <c r="K21" s="3515"/>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36.6" thickBot="1">
      <c r="A22" s="2629"/>
      <c r="B22" s="2633" t="s">
        <v>2211</v>
      </c>
      <c r="C22" s="2631" t="s">
        <v>1058</v>
      </c>
      <c r="D22" s="2660"/>
      <c r="E22" s="2660"/>
      <c r="F22" s="2660"/>
      <c r="G22" s="2661"/>
      <c r="H22" s="2661"/>
      <c r="I22" s="2661"/>
      <c r="J22" s="2436"/>
      <c r="K22" s="3515"/>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8"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8" thickTop="1">
      <c r="A27" s="3503" t="s">
        <v>2214</v>
      </c>
      <c r="B27" s="318" t="s">
        <v>2215</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03"/>
      <c r="B28" s="300"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03"/>
      <c r="B29" s="300"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04"/>
      <c r="B30" s="300" t="s">
        <v>2218</v>
      </c>
      <c r="C30" s="3505"/>
      <c r="D30" s="3506"/>
      <c r="E30" s="2661"/>
      <c r="F30" s="2661"/>
      <c r="G30" s="2661"/>
      <c r="H30" s="2661"/>
      <c r="I30" s="2661"/>
      <c r="J30" s="2436"/>
      <c r="K30" s="2613"/>
      <c r="L30" s="2610"/>
      <c r="M30" s="2610"/>
      <c r="N30" s="2436"/>
      <c r="O30" s="2447"/>
      <c r="P30" s="2436"/>
      <c r="Q30" s="2436"/>
      <c r="R30" s="2436"/>
      <c r="S30" s="2436"/>
      <c r="T30" s="2436"/>
      <c r="U30" s="2436"/>
      <c r="V30" s="2436"/>
    </row>
    <row r="31" spans="1:28">
      <c r="A31" s="3507" t="s">
        <v>2219</v>
      </c>
      <c r="B31" s="2419"/>
      <c r="C31" s="2320" t="str">
        <f>IF(B31="现房","成新及维护状况正常否",IF(B31="在建","工程状态是否正常",IF(B31="土地","是否闲置","-")))</f>
        <v>-</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08"/>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08"/>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0" t="s">
        <v>2220</v>
      </c>
      <c r="B34" s="2023"/>
      <c r="C34" s="2023"/>
      <c r="D34" s="2023"/>
      <c r="E34" s="2023"/>
      <c r="F34" s="2023"/>
      <c r="G34" s="2023"/>
      <c r="H34" s="2023"/>
      <c r="I34" s="2661"/>
      <c r="J34" s="2436"/>
      <c r="K34" s="2424">
        <f>COUNTIF(B34:H34,"——")</f>
        <v>0</v>
      </c>
      <c r="L34" s="321" t="s">
        <v>2221</v>
      </c>
      <c r="M34" s="321" t="s">
        <v>2222</v>
      </c>
      <c r="N34" s="321" t="s">
        <v>2223</v>
      </c>
      <c r="O34" s="321" t="s">
        <v>2224</v>
      </c>
      <c r="P34" s="321" t="s">
        <v>2225</v>
      </c>
      <c r="Q34" s="321" t="s">
        <v>2226</v>
      </c>
      <c r="R34" s="321" t="s">
        <v>2227</v>
      </c>
      <c r="S34" s="3502" t="s">
        <v>2228</v>
      </c>
      <c r="T34" s="2425" t="str">
        <f>NUMBERSTRING(7-K34,1)&amp;"通"</f>
        <v>七通</v>
      </c>
      <c r="U34" s="2436"/>
      <c r="V34" s="2436"/>
    </row>
    <row r="35" spans="1:30">
      <c r="A35" s="2426"/>
      <c r="B35" s="3509" t="s">
        <v>2229</v>
      </c>
      <c r="C35" s="3509"/>
      <c r="D35" s="3509"/>
      <c r="E35" s="3509"/>
      <c r="F35" s="662">
        <f>C10</f>
        <v>0</v>
      </c>
      <c r="G35" s="2661"/>
      <c r="H35" s="2661"/>
      <c r="I35" s="2661"/>
      <c r="J35" s="2436"/>
      <c r="K35" s="321"/>
      <c r="L35" s="321">
        <f>B34</f>
        <v>0</v>
      </c>
      <c r="M35" s="327" t="str">
        <f>B34&amp;"、"&amp;C34</f>
        <v>、</v>
      </c>
      <c r="N35" s="327" t="str">
        <f>B34&amp;"、"&amp;C34&amp;"、"&amp;D34</f>
        <v>、、</v>
      </c>
      <c r="O35" s="327" t="str">
        <f>B34&amp;"、"&amp;C34&amp;"、"&amp;D34&amp;"、"&amp;E34</f>
        <v>、、、</v>
      </c>
      <c r="P35" s="327" t="str">
        <f>B34&amp;"、"&amp;C34&amp;"、"&amp;D34&amp;"、"&amp;E34&amp;"、"&amp;F34</f>
        <v>、、、、</v>
      </c>
      <c r="Q35" s="327" t="str">
        <f>B34&amp;"、"&amp;C34&amp;"、"&amp;D34&amp;"、"&amp;E34&amp;"、"&amp;F34&amp;"、"&amp;G34</f>
        <v>、、、、、</v>
      </c>
      <c r="R35" s="327" t="str">
        <f>B34&amp;"、"&amp;C34&amp;"、"&amp;D34&amp;"、"&amp;E34&amp;"、"&amp;F34&amp;"、"&amp;G34&amp;"、"&amp;H34</f>
        <v>、、、、、、</v>
      </c>
      <c r="S35" s="3502"/>
      <c r="T35" s="327" t="str">
        <f>IF(T34="一通",L35,IF(T34="二通",M35,IF(T34="三通",N35,IF(T34="四通",O35,IF(T34="五通",P35,IF(T34="六通",Q35,R35))))))</f>
        <v>、、、、、、</v>
      </c>
      <c r="U35" s="2436"/>
      <c r="V35" s="2436"/>
    </row>
    <row r="36" spans="1:30">
      <c r="A36" s="2427"/>
      <c r="B36" s="662" t="s">
        <v>2185</v>
      </c>
      <c r="C36" s="662" t="s">
        <v>2186</v>
      </c>
      <c r="D36" s="662" t="s">
        <v>2184</v>
      </c>
      <c r="E36" s="662" t="s">
        <v>2189</v>
      </c>
      <c r="F36" s="3062" t="s">
        <v>2582</v>
      </c>
      <c r="G36" s="2661"/>
      <c r="H36" s="2661"/>
      <c r="I36" s="2661"/>
      <c r="J36" s="2436"/>
      <c r="K36" s="2613"/>
      <c r="L36" s="2610"/>
      <c r="M36" s="2610"/>
      <c r="N36" s="2436"/>
      <c r="O36" s="2447"/>
      <c r="P36" s="2436"/>
      <c r="Q36" s="2436"/>
      <c r="R36" s="2436"/>
      <c r="S36" s="2436"/>
      <c r="T36" s="2436"/>
      <c r="U36" s="2436"/>
      <c r="V36" s="2436"/>
    </row>
    <row r="37" spans="1:30">
      <c r="A37" s="2627" t="s">
        <v>2230</v>
      </c>
      <c r="B37" s="2428" t="s">
        <v>303</v>
      </c>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8" thickBot="1">
      <c r="A38" s="2628" t="s">
        <v>2231</v>
      </c>
      <c r="B38" s="2429" t="s">
        <v>140</v>
      </c>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4"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2233</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2">
      <c r="A42" s="321"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F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0" customWidth="1"/>
    <col min="2" max="2" width="11" style="1570" customWidth="1"/>
    <col min="3" max="3" width="10.33203125" style="1570" customWidth="1"/>
    <col min="4" max="4" width="9.109375" style="1570" customWidth="1"/>
    <col min="5" max="6" width="10" style="1631" customWidth="1"/>
    <col min="7" max="8" width="10" style="1570" customWidth="1"/>
    <col min="9" max="9" width="10.6640625" style="1570" customWidth="1"/>
    <col min="10" max="10" width="9.44140625" style="1570" customWidth="1"/>
    <col min="11" max="11" width="11" style="1570" customWidth="1"/>
    <col min="12" max="14" width="9.44140625" style="1570" customWidth="1"/>
    <col min="15" max="15" width="9.88671875" style="1570" customWidth="1"/>
    <col min="16" max="16" width="9.77734375" style="1570" customWidth="1"/>
    <col min="17" max="17" width="9.33203125" style="1570" customWidth="1"/>
    <col min="18" max="18" width="9.21875" style="1570" customWidth="1"/>
    <col min="19" max="19" width="10.88671875" style="1570" customWidth="1"/>
    <col min="20" max="21" width="10.77734375" style="1570" customWidth="1"/>
    <col min="22" max="22" width="10.88671875" style="1570" customWidth="1"/>
    <col min="23" max="27" width="10.77734375" style="1570" customWidth="1"/>
    <col min="28" max="28" width="10.88671875" style="1570" customWidth="1"/>
    <col min="29" max="29" width="11" style="1570" bestFit="1" customWidth="1"/>
    <col min="30" max="30" width="10" style="1570" bestFit="1" customWidth="1"/>
    <col min="31" max="31" width="9.77734375" style="1570" customWidth="1"/>
    <col min="32" max="46" width="9.44140625" style="1570" customWidth="1"/>
    <col min="47" max="47" width="18.109375" style="1570" customWidth="1"/>
    <col min="48" max="50" width="9.77734375" style="1570" customWidth="1"/>
    <col min="51" max="55" width="10.44140625" style="1570" bestFit="1" customWidth="1"/>
    <col min="56" max="56" width="9.44140625" style="1570" bestFit="1" customWidth="1"/>
    <col min="57" max="63" width="9.109375" style="1570" bestFit="1" customWidth="1"/>
    <col min="64" max="64" width="9.44140625" style="1570" bestFit="1" customWidth="1"/>
    <col min="65" max="65" width="9.109375" style="1570" bestFit="1" customWidth="1"/>
    <col min="66" max="66" width="9.44140625" style="1570" bestFit="1" customWidth="1"/>
    <col min="67" max="69" width="9.109375" style="1570" bestFit="1" customWidth="1"/>
    <col min="70" max="70" width="9.44140625" style="1570" bestFit="1" customWidth="1"/>
    <col min="71" max="71" width="9" style="1570" customWidth="1"/>
    <col min="72" max="72" width="9.109375" style="1570" bestFit="1" customWidth="1"/>
    <col min="73" max="16384" width="8.88671875" style="1570"/>
  </cols>
  <sheetData>
    <row r="1" spans="1:72" ht="21">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3.2">
      <c r="A3" s="10">
        <v>2229.4899999999998</v>
      </c>
      <c r="B3" s="11">
        <f>IF(C3="否",G5-AT5,G5)</f>
        <v>204.38</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3.2">
      <c r="A5" s="12" t="s">
        <v>1071</v>
      </c>
      <c r="B5" s="1344"/>
      <c r="C5" s="1344"/>
      <c r="D5" s="1346"/>
      <c r="E5" s="13" t="s">
        <v>0</v>
      </c>
      <c r="F5" s="13">
        <f>SUM(F13:F587)</f>
        <v>0</v>
      </c>
      <c r="G5" s="13">
        <f>SUM(G13:G587)</f>
        <v>204.38</v>
      </c>
      <c r="H5" s="13">
        <f t="shared" ref="H5:AT5" si="0">SUM(H13:H656)</f>
        <v>204.38</v>
      </c>
      <c r="I5" s="13">
        <f t="shared" si="0"/>
        <v>204.38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204.38</v>
      </c>
      <c r="BA5" s="15">
        <f t="shared" si="1"/>
        <v>204.38</v>
      </c>
      <c r="BB5" s="15">
        <f t="shared" si="1"/>
        <v>204.38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3.2">
      <c r="A6" s="12" t="s">
        <v>1072</v>
      </c>
      <c r="B6" s="1583"/>
      <c r="C6" s="1583"/>
      <c r="D6" s="1584"/>
      <c r="E6" s="13">
        <f>H6+AC6+AT6</f>
        <v>2229.4899999999998</v>
      </c>
      <c r="F6" s="13" t="s">
        <v>0</v>
      </c>
      <c r="G6" s="13" t="s">
        <v>1</v>
      </c>
      <c r="H6" s="17">
        <f>SUMIF(I$12:AB$12,"总值",I6:AB6)</f>
        <v>2229.4899999999998</v>
      </c>
      <c r="I6" s="13">
        <f t="shared" ref="I6:AB6" si="2">ROUND($A$3*I5/$B$3,2)</f>
        <v>2229.4899999999998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2229.4899999999998</v>
      </c>
      <c r="AZ6" s="13" t="s">
        <v>2</v>
      </c>
      <c r="BA6" s="13">
        <f>ROUND($AY$6*BA5/$AZ$5,2)</f>
        <v>2229.4899999999998</v>
      </c>
      <c r="BB6" s="13">
        <f>ROUND($AY$6*BB5/$AZ$5,2)</f>
        <v>2229.4899999999998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5.2">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7"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3.2">
      <c r="A9" s="1591"/>
      <c r="B9" s="1591"/>
      <c r="C9" s="1591"/>
      <c r="D9" s="1591"/>
      <c r="E9" s="1591"/>
      <c r="F9" s="1591"/>
      <c r="G9" s="1067"/>
      <c r="H9" s="1599" t="s">
        <v>1091</v>
      </c>
      <c r="I9" s="1600" t="s">
        <v>3379</v>
      </c>
      <c r="J9" s="807"/>
      <c r="K9" s="1600"/>
      <c r="L9" s="807"/>
      <c r="M9" s="1600"/>
      <c r="N9" s="807"/>
      <c r="O9" s="1600"/>
      <c r="P9" s="807"/>
      <c r="Q9" s="1600"/>
      <c r="R9" s="807"/>
      <c r="S9" s="1600"/>
      <c r="T9" s="807"/>
      <c r="U9" s="1600"/>
      <c r="V9" s="807"/>
      <c r="W9" s="1600"/>
      <c r="X9" s="1601"/>
      <c r="Y9" s="1600"/>
      <c r="Z9" s="807"/>
      <c r="AA9" s="1600"/>
      <c r="AB9" s="807"/>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3.2">
      <c r="A10" s="1591"/>
      <c r="B10" s="1591"/>
      <c r="C10" s="1591"/>
      <c r="D10" s="1591"/>
      <c r="E10" s="1591"/>
      <c r="F10" s="1591"/>
      <c r="G10" s="1067"/>
      <c r="H10" s="25"/>
      <c r="I10" s="1600" t="s">
        <v>673</v>
      </c>
      <c r="J10" s="807"/>
      <c r="K10" s="1606"/>
      <c r="L10" s="807"/>
      <c r="M10" s="1606"/>
      <c r="N10" s="807"/>
      <c r="O10" s="1606"/>
      <c r="P10" s="807"/>
      <c r="Q10" s="1606"/>
      <c r="R10" s="807"/>
      <c r="S10" s="1606"/>
      <c r="T10" s="807"/>
      <c r="U10" s="1606"/>
      <c r="V10" s="807"/>
      <c r="W10" s="1606"/>
      <c r="X10" s="807"/>
      <c r="Y10" s="1606"/>
      <c r="Z10" s="807"/>
      <c r="AA10" s="1606"/>
      <c r="AB10" s="807"/>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3.2">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3.2">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3.2">
      <c r="A13" s="1048"/>
      <c r="B13" s="1048"/>
      <c r="C13" s="1048"/>
      <c r="D13" s="1622" t="s">
        <v>3378</v>
      </c>
      <c r="E13" s="13">
        <f>IF($C$3="是",ROUND($A$3*G13/$B$3,2),ROUND($A$3*(G13-AT13)/$B$3,2))</f>
        <v>2229.4899999999998</v>
      </c>
      <c r="F13" s="29"/>
      <c r="G13" s="30">
        <f>H13+AC13+AT13</f>
        <v>204.38</v>
      </c>
      <c r="H13" s="17">
        <f>SUMIF(I$12:AB$12,"总值",I13:AB13)</f>
        <v>204.38</v>
      </c>
      <c r="I13" s="1623">
        <v>204.38</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2229.4899999999998</v>
      </c>
      <c r="AZ13" s="13">
        <f>BA13+BL13</f>
        <v>204.38</v>
      </c>
      <c r="BA13" s="13">
        <f>SUM(BB13:BK13)</f>
        <v>204.38</v>
      </c>
      <c r="BB13" s="13">
        <f>IF($D13="是",I13-J13,0)</f>
        <v>204.38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3.2">
      <c r="A14" s="1048"/>
      <c r="B14" s="1048"/>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3.2">
      <c r="A15" s="1048"/>
      <c r="B15" s="1048"/>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3.2">
      <c r="A16" s="1048"/>
      <c r="B16" s="1048"/>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3.2">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4" sqref="I44"/>
    </sheetView>
  </sheetViews>
  <sheetFormatPr defaultColWidth="9.21875" defaultRowHeight="13.8"/>
  <cols>
    <col min="1" max="1" width="12.109375" style="1635" customWidth="1"/>
    <col min="2" max="2" width="10.21875" style="1635" customWidth="1"/>
    <col min="3" max="3" width="18.44140625" style="1635" customWidth="1"/>
    <col min="4" max="4" width="11.6640625" style="1635" customWidth="1"/>
    <col min="5" max="5" width="13.33203125" style="1635" customWidth="1"/>
    <col min="6" max="8" width="11.44140625" style="1635" customWidth="1"/>
    <col min="9" max="9" width="11.109375" style="1635" customWidth="1"/>
    <col min="10" max="10" width="3.109375" style="2646" customWidth="1"/>
    <col min="11" max="16" width="10" style="1635" customWidth="1"/>
    <col min="17" max="17" width="2.6640625" style="1635" customWidth="1"/>
    <col min="18" max="18" width="9.33203125" style="1635" bestFit="1" customWidth="1"/>
    <col min="19" max="19" width="10.44140625" style="1635" bestFit="1" customWidth="1"/>
    <col min="20" max="16384" width="9.21875" style="1635"/>
  </cols>
  <sheetData>
    <row r="1" spans="1:16" ht="18" thickBot="1">
      <c r="A1" s="1634" t="s">
        <v>1130</v>
      </c>
      <c r="B1" s="1136"/>
      <c r="C1" s="1136"/>
      <c r="D1" s="1136"/>
      <c r="E1" s="1136"/>
      <c r="F1" s="1136"/>
      <c r="G1" s="1136"/>
      <c r="H1" s="1136"/>
      <c r="I1" s="1136"/>
      <c r="J1" s="1136"/>
      <c r="K1" s="1136"/>
      <c r="L1" s="1136"/>
      <c r="M1" s="1136"/>
      <c r="N1" s="1136"/>
      <c r="O1" s="1136"/>
      <c r="P1" s="1136"/>
    </row>
    <row r="2" spans="1:16" ht="14.4">
      <c r="A2" s="3541" t="s">
        <v>1131</v>
      </c>
      <c r="B2" s="3541"/>
      <c r="C2" s="3541"/>
      <c r="D2" s="794" t="s">
        <v>1107</v>
      </c>
      <c r="E2" s="1636" t="s">
        <v>1108</v>
      </c>
      <c r="F2" s="2656"/>
      <c r="G2" s="2647"/>
      <c r="H2" s="2648"/>
      <c r="I2" s="2322" t="s">
        <v>1132</v>
      </c>
      <c r="J2" s="2656"/>
      <c r="K2" s="2656"/>
      <c r="L2" s="2656"/>
      <c r="M2" s="2656"/>
      <c r="N2" s="2658"/>
      <c r="O2" s="2656"/>
      <c r="P2" s="2656"/>
    </row>
    <row r="3" spans="1:16" ht="15" thickBot="1">
      <c r="A3" s="3542" t="s">
        <v>1105</v>
      </c>
      <c r="B3" s="3542"/>
      <c r="C3" s="3542"/>
      <c r="D3" s="43">
        <f>'数据-基础表'!AY6</f>
        <v>2229.4899999999998</v>
      </c>
      <c r="E3" s="43">
        <f>'数据-基础表'!AZ5</f>
        <v>204.38</v>
      </c>
      <c r="F3" s="2656"/>
      <c r="G3" s="1142"/>
      <c r="H3" s="1023" t="s">
        <v>1106</v>
      </c>
      <c r="I3" s="853">
        <f>ROUND('数据-基础表'!B3/'数据-基础表'!A3,2)</f>
        <v>0.09</v>
      </c>
      <c r="J3" s="2656"/>
      <c r="K3" s="2656"/>
      <c r="L3" s="2656"/>
      <c r="M3" s="2656"/>
      <c r="N3" s="2658"/>
      <c r="O3" s="2656"/>
      <c r="P3" s="2656"/>
    </row>
    <row r="4" spans="1:16" ht="14.4">
      <c r="A4" s="3543"/>
      <c r="B4" s="3544"/>
      <c r="C4" s="3545"/>
      <c r="D4" s="1638" t="s">
        <v>1107</v>
      </c>
      <c r="E4" s="1639" t="s">
        <v>1108</v>
      </c>
      <c r="F4" s="2656"/>
      <c r="G4" s="2649" t="s">
        <v>1133</v>
      </c>
      <c r="H4" s="1023" t="s">
        <v>1113</v>
      </c>
      <c r="I4" s="853">
        <f>ROUND(SUMIF('数据-基础表'!I9:AS9,"地上",'数据-基础表'!I5:AS5)/'数据-基础表'!A3,2)</f>
        <v>0.09</v>
      </c>
      <c r="J4" s="2656"/>
      <c r="K4" s="2656"/>
      <c r="L4" s="2656"/>
      <c r="M4" s="2656"/>
      <c r="N4" s="2658"/>
      <c r="O4" s="2656"/>
      <c r="P4" s="2656"/>
    </row>
    <row r="5" spans="1:16" ht="14.4">
      <c r="A5" s="44" t="s">
        <v>1109</v>
      </c>
      <c r="B5" s="3546" t="s">
        <v>1110</v>
      </c>
      <c r="C5" s="3546"/>
      <c r="D5" s="45">
        <f>ROUND($D$3*E5/$E$3,2)</f>
        <v>0</v>
      </c>
      <c r="E5" s="46">
        <f>SUMIF('数据-基础表'!$11:$11,"住宅",'数据-基础表'!$5:$5)</f>
        <v>0</v>
      </c>
      <c r="F5" s="2656"/>
      <c r="G5" s="1142"/>
      <c r="H5" s="1023" t="s">
        <v>1106</v>
      </c>
      <c r="I5" s="853">
        <f>ROUND(E31/D31,2)</f>
        <v>0.09</v>
      </c>
      <c r="J5" s="2656"/>
      <c r="K5" s="2656"/>
      <c r="L5" s="2656"/>
      <c r="M5" s="2656"/>
      <c r="N5" s="2656"/>
      <c r="O5" s="2656"/>
      <c r="P5" s="2656"/>
    </row>
    <row r="6" spans="1:16" ht="15" thickBot="1">
      <c r="A6" s="1641"/>
      <c r="B6" s="3546" t="s">
        <v>1111</v>
      </c>
      <c r="C6" s="3546"/>
      <c r="D6" s="45">
        <f>ROUND($D$3*E6/$E$3,2)</f>
        <v>2229.4899999999998</v>
      </c>
      <c r="E6" s="46">
        <f>E3-E5</f>
        <v>204.38</v>
      </c>
      <c r="F6" s="2656"/>
      <c r="G6" s="2650" t="s">
        <v>1112</v>
      </c>
      <c r="H6" s="1143" t="s">
        <v>1113</v>
      </c>
      <c r="I6" s="2651">
        <f>ROUND(F31/D31,2)</f>
        <v>0.09</v>
      </c>
      <c r="J6" s="2656"/>
      <c r="K6" s="2656"/>
      <c r="L6" s="2656"/>
      <c r="M6" s="2656"/>
      <c r="N6" s="2656"/>
      <c r="O6" s="2656"/>
      <c r="P6" s="2656"/>
    </row>
    <row r="7" spans="1:16" ht="15" thickBot="1">
      <c r="A7" s="3538"/>
      <c r="B7" s="3539"/>
      <c r="C7" s="3540"/>
      <c r="D7" s="1638" t="s">
        <v>1107</v>
      </c>
      <c r="E7" s="1642" t="s">
        <v>1114</v>
      </c>
      <c r="F7" s="2656"/>
      <c r="G7" s="2652" t="s">
        <v>1115</v>
      </c>
      <c r="H7" s="2653"/>
      <c r="I7" s="2654">
        <v>1</v>
      </c>
      <c r="J7" s="2656"/>
      <c r="K7" s="2656"/>
      <c r="L7" s="2656"/>
      <c r="M7" s="2656"/>
      <c r="N7" s="2656"/>
      <c r="O7" s="2656"/>
      <c r="P7" s="2656"/>
    </row>
    <row r="8" spans="1:16" ht="14.4">
      <c r="A8" s="44" t="s">
        <v>1116</v>
      </c>
      <c r="B8" s="47" t="s">
        <v>1117</v>
      </c>
      <c r="C8" s="45" t="s">
        <v>1118</v>
      </c>
      <c r="D8" s="45">
        <f t="shared" ref="D8:D15" si="0">ROUND($D$3*E8/$E$3,2)</f>
        <v>2229.4899999999998</v>
      </c>
      <c r="E8" s="48">
        <f>SUMIF('数据-基础表'!BB10:BK10,"地上",'数据-基础表'!BB5:BK5)</f>
        <v>204.38</v>
      </c>
      <c r="F8" s="2656"/>
      <c r="G8" s="2657"/>
      <c r="H8" s="2657"/>
      <c r="I8" s="2656"/>
      <c r="J8" s="2656"/>
      <c r="K8" s="2656"/>
      <c r="L8" s="2656"/>
      <c r="M8" s="2656"/>
      <c r="N8" s="2656"/>
      <c r="O8" s="2656"/>
      <c r="P8" s="2656"/>
    </row>
    <row r="9" spans="1:16" ht="14.4">
      <c r="A9" s="1643"/>
      <c r="B9" s="1644"/>
      <c r="C9" s="45" t="s">
        <v>1119</v>
      </c>
      <c r="D9" s="45">
        <f t="shared" si="0"/>
        <v>0</v>
      </c>
      <c r="E9" s="49">
        <v>0</v>
      </c>
      <c r="F9" s="2656"/>
      <c r="G9" s="2657"/>
      <c r="H9" s="2657"/>
      <c r="I9" s="2656"/>
      <c r="J9" s="2656"/>
      <c r="K9" s="2656"/>
      <c r="L9" s="2656"/>
      <c r="M9" s="2656"/>
      <c r="N9" s="2656"/>
      <c r="O9" s="2656"/>
      <c r="P9" s="2656"/>
    </row>
    <row r="10" spans="1:16" ht="14.4">
      <c r="A10" s="1643"/>
      <c r="B10" s="1644"/>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ht="14.4">
      <c r="A11" s="1643"/>
      <c r="B11" s="1644"/>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ht="14.4">
      <c r="A12" s="1643"/>
      <c r="B12" s="1644"/>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ht="14.4">
      <c r="A13" s="1643"/>
      <c r="B13" s="1644"/>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ht="14.4">
      <c r="A14" s="1643"/>
      <c r="B14" s="1644"/>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 thickBot="1">
      <c r="A16" s="1641"/>
      <c r="B16" s="1644"/>
      <c r="C16" s="47" t="s">
        <v>1123</v>
      </c>
      <c r="D16" s="47">
        <f>SUM(D8:D15)</f>
        <v>2229.4899999999998</v>
      </c>
      <c r="E16" s="50">
        <f>SUM(E8:E15)</f>
        <v>204.38</v>
      </c>
      <c r="F16" s="2656"/>
      <c r="G16" s="2657"/>
      <c r="H16" s="1645" t="s">
        <v>1135</v>
      </c>
      <c r="I16" s="1646"/>
      <c r="J16" s="1136"/>
      <c r="K16" s="3535" t="s">
        <v>1135</v>
      </c>
      <c r="L16" s="3536"/>
      <c r="M16" s="3536"/>
      <c r="N16" s="3536"/>
      <c r="O16" s="3536"/>
      <c r="P16" s="3537"/>
    </row>
    <row r="17" spans="1:19" ht="14.4">
      <c r="A17" s="1647" t="s">
        <v>1136</v>
      </c>
      <c r="B17" s="1648" t="s">
        <v>1137</v>
      </c>
      <c r="C17" s="1649" t="s">
        <v>1138</v>
      </c>
      <c r="D17" s="1650" t="s">
        <v>1126</v>
      </c>
      <c r="E17" s="1651" t="s">
        <v>1127</v>
      </c>
      <c r="F17" s="1652"/>
      <c r="G17" s="1653"/>
      <c r="H17" s="1654" t="s">
        <v>1139</v>
      </c>
      <c r="I17" s="1655" t="s">
        <v>1124</v>
      </c>
      <c r="J17" s="1136"/>
      <c r="K17" s="3532" t="s">
        <v>1140</v>
      </c>
      <c r="L17" s="3533"/>
      <c r="M17" s="3534"/>
      <c r="N17" s="3532" t="s">
        <v>1141</v>
      </c>
      <c r="O17" s="3533"/>
      <c r="P17" s="3534"/>
      <c r="R17" s="1637" t="s">
        <v>1142</v>
      </c>
      <c r="S17" s="56"/>
    </row>
    <row r="18" spans="1:19" ht="14.4">
      <c r="A18" s="1643"/>
      <c r="B18" s="1656"/>
      <c r="C18" s="1657"/>
      <c r="D18" s="1658"/>
      <c r="E18" s="1659" t="s">
        <v>1143</v>
      </c>
      <c r="F18" s="1660" t="s">
        <v>1144</v>
      </c>
      <c r="G18" s="1661" t="s">
        <v>1145</v>
      </c>
      <c r="H18" s="1038" t="s">
        <v>1146</v>
      </c>
      <c r="I18" s="1662" t="s">
        <v>1147</v>
      </c>
      <c r="J18" s="1136"/>
      <c r="K18" s="1038" t="s">
        <v>1148</v>
      </c>
      <c r="L18" s="1663" t="s">
        <v>1149</v>
      </c>
      <c r="M18" s="853" t="s">
        <v>1150</v>
      </c>
      <c r="N18" s="1038" t="s">
        <v>1148</v>
      </c>
      <c r="O18" s="1663" t="s">
        <v>1149</v>
      </c>
      <c r="P18" s="853" t="s">
        <v>1150</v>
      </c>
      <c r="R18" s="1023" t="s">
        <v>1151</v>
      </c>
      <c r="S18" s="1023" t="s">
        <v>1152</v>
      </c>
    </row>
    <row r="19" spans="1:19" ht="14.4">
      <c r="A19" s="1664"/>
      <c r="B19" s="47" t="s">
        <v>1125</v>
      </c>
      <c r="C19" s="3416" t="s">
        <v>3381</v>
      </c>
      <c r="D19" s="45">
        <f>ROUND($D$3*E19/$E$3,2)</f>
        <v>2229.4899999999998</v>
      </c>
      <c r="E19" s="53">
        <f t="shared" ref="E19:E26" si="1">SUM(F19:G19)</f>
        <v>204.38</v>
      </c>
      <c r="F19" s="2792">
        <f>'数据-基础表'!I13</f>
        <v>204.38</v>
      </c>
      <c r="G19" s="2793"/>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2229.4899999999998</v>
      </c>
      <c r="S19" s="1024">
        <f t="shared" si="5"/>
        <v>204.38</v>
      </c>
    </row>
    <row r="20" spans="1:19" ht="14.4">
      <c r="A20" s="1667"/>
      <c r="B20" s="47" t="s">
        <v>1153</v>
      </c>
      <c r="C20" s="3416"/>
      <c r="D20" s="45">
        <f t="shared" ref="D20:D26" si="6">ROUND($D$3*E20/$E$3,2)</f>
        <v>0</v>
      </c>
      <c r="E20" s="53">
        <f t="shared" si="1"/>
        <v>0</v>
      </c>
      <c r="F20" s="2792"/>
      <c r="G20" s="2793"/>
      <c r="H20" s="668">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ht="14.4">
      <c r="A21" s="1667"/>
      <c r="B21" s="47" t="s">
        <v>1153</v>
      </c>
      <c r="C21" s="3416"/>
      <c r="D21" s="45">
        <f t="shared" si="6"/>
        <v>0</v>
      </c>
      <c r="E21" s="53">
        <f t="shared" si="1"/>
        <v>0</v>
      </c>
      <c r="F21" s="2792"/>
      <c r="G21" s="2793"/>
      <c r="H21" s="668">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ht="14.4">
      <c r="A22" s="1667"/>
      <c r="B22" s="47" t="s">
        <v>1153</v>
      </c>
      <c r="C22" s="3417"/>
      <c r="D22" s="45">
        <f t="shared" si="6"/>
        <v>0</v>
      </c>
      <c r="E22" s="53">
        <f t="shared" si="1"/>
        <v>0</v>
      </c>
      <c r="F22" s="2794"/>
      <c r="G22" s="2795"/>
      <c r="H22" s="668">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ht="14.4">
      <c r="A23" s="1667"/>
      <c r="B23" s="47" t="s">
        <v>1153</v>
      </c>
      <c r="C23" s="3417"/>
      <c r="D23" s="45">
        <f>ROUND($D$3*E23/$E$3,2)</f>
        <v>0</v>
      </c>
      <c r="E23" s="53">
        <f>SUM(F23:G23)</f>
        <v>0</v>
      </c>
      <c r="F23" s="2794"/>
      <c r="G23" s="2795"/>
      <c r="H23" s="668">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ht="14.4">
      <c r="A24" s="1667"/>
      <c r="B24" s="47" t="s">
        <v>1153</v>
      </c>
      <c r="C24" s="3417"/>
      <c r="D24" s="45">
        <f>ROUND($D$3*E24/$E$3,2)</f>
        <v>0</v>
      </c>
      <c r="E24" s="53">
        <f>SUM(F24:G24)</f>
        <v>0</v>
      </c>
      <c r="F24" s="2794"/>
      <c r="G24" s="2795"/>
      <c r="H24" s="668">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ht="14.4">
      <c r="A25" s="1667"/>
      <c r="B25" s="47" t="s">
        <v>1153</v>
      </c>
      <c r="C25" s="3417"/>
      <c r="D25" s="45">
        <f t="shared" si="6"/>
        <v>0</v>
      </c>
      <c r="E25" s="53">
        <f t="shared" si="1"/>
        <v>0</v>
      </c>
      <c r="F25" s="2794"/>
      <c r="G25" s="2795"/>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ht="14.4">
      <c r="A26" s="1667"/>
      <c r="B26" s="47" t="s">
        <v>1153</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 thickBot="1">
      <c r="A27" s="1667"/>
      <c r="B27" s="45"/>
      <c r="C27" s="1670" t="s">
        <v>1154</v>
      </c>
      <c r="D27" s="1137">
        <f>SUM(D19:D26)</f>
        <v>2229.4899999999998</v>
      </c>
      <c r="E27" s="1138">
        <f>IF(SUM(E19:E26)='数据-基础表'!BA5,SUM(E19:E26),IF(F27="地上面积有误","面积有误","地下面积有误"))</f>
        <v>204.38</v>
      </c>
      <c r="F27" s="1137">
        <f>IF(SUM(F19:F26)=E8,SUM(F19:F26),"地上面积有误")</f>
        <v>204.38</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2229.4899999999998</v>
      </c>
      <c r="S27" s="1023">
        <f>IF(SUM(S19:S26)=$E$3,SUM(S19:S26),SUM(S19:S26)&amp;"误差"&amp;ROUND(SUM(S19:S26)-E3,2))</f>
        <v>204.38</v>
      </c>
    </row>
    <row r="28" spans="1:19" ht="14.4">
      <c r="A28" s="1667"/>
      <c r="B28" s="47" t="s">
        <v>1155</v>
      </c>
      <c r="C28" s="1035"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ht="14.4">
      <c r="A29" s="1667"/>
      <c r="B29" s="47" t="s">
        <v>1155</v>
      </c>
      <c r="C29" s="1671"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4.4">
      <c r="A30" s="1667"/>
      <c r="B30" s="47"/>
      <c r="C30" s="1672" t="s">
        <v>1154</v>
      </c>
      <c r="D30" s="1137">
        <f>SUM(D28:D29)</f>
        <v>0</v>
      </c>
      <c r="E30" s="1137">
        <f>SUM(E28:E29)</f>
        <v>0</v>
      </c>
      <c r="F30" s="1137">
        <f>SUM(F28:F29)</f>
        <v>0</v>
      </c>
      <c r="G30" s="1139">
        <f>SUM(G28:G29)</f>
        <v>0</v>
      </c>
      <c r="H30" s="2656"/>
      <c r="I30" s="2656"/>
      <c r="J30" s="2656"/>
      <c r="K30" s="2656"/>
      <c r="L30" s="2656"/>
      <c r="M30" s="2656"/>
      <c r="N30" s="2656"/>
      <c r="O30" s="2656"/>
      <c r="P30" s="2656"/>
    </row>
    <row r="31" spans="1:19" ht="15" thickBot="1">
      <c r="A31" s="1673"/>
      <c r="B31" s="1674"/>
      <c r="C31" s="833" t="s">
        <v>1158</v>
      </c>
      <c r="D31" s="674">
        <f>D27+D30</f>
        <v>2229.4899999999998</v>
      </c>
      <c r="E31" s="674">
        <f>E27+E30</f>
        <v>204.38</v>
      </c>
      <c r="F31" s="675">
        <f>F27+F30</f>
        <v>204.38</v>
      </c>
      <c r="G31" s="676">
        <f>G27+G30</f>
        <v>0</v>
      </c>
      <c r="H31" s="2656"/>
      <c r="I31" s="2656"/>
      <c r="J31" s="2656"/>
      <c r="K31" s="2656"/>
      <c r="L31" s="2656"/>
      <c r="M31" s="2656"/>
      <c r="N31" s="2656"/>
      <c r="O31" s="2656"/>
      <c r="P31" s="2656"/>
    </row>
    <row r="32" spans="1:19" ht="14.4">
      <c r="A32" s="1640"/>
      <c r="B32" s="1640" t="s">
        <v>1159</v>
      </c>
      <c r="C32" s="1640"/>
      <c r="D32" s="1640"/>
      <c r="E32" s="1050">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R6" activePane="bottomRight" state="frozen"/>
      <selection activeCell="C50" sqref="C50"/>
      <selection pane="topRight" activeCell="C50" sqref="C50"/>
      <selection pane="bottomLeft" activeCell="C50" sqref="C50"/>
      <selection pane="bottomRight" activeCell="Z6" activeCellId="2" sqref="AL6:AM6 AF6 Z6"/>
    </sheetView>
  </sheetViews>
  <sheetFormatPr defaultColWidth="13.77734375" defaultRowHeight="13.2"/>
  <cols>
    <col min="1" max="1" width="20.88671875" style="1742" customWidth="1"/>
    <col min="2" max="2" width="12" style="1679" customWidth="1"/>
    <col min="3" max="3" width="12.77734375" style="1679" customWidth="1"/>
    <col min="4" max="4" width="9.109375" style="1743" customWidth="1"/>
    <col min="5" max="5" width="15" style="1679" bestFit="1" customWidth="1"/>
    <col min="6" max="10" width="8.88671875" style="1679" customWidth="1"/>
    <col min="11" max="12" width="12.33203125" style="1598" customWidth="1"/>
    <col min="13" max="13" width="8.6640625" style="1679" customWidth="1"/>
    <col min="14" max="14" width="11.88671875" style="1679" customWidth="1"/>
    <col min="15" max="15" width="8.44140625" style="1679" customWidth="1"/>
    <col min="16" max="17" width="10.88671875" style="1679" customWidth="1"/>
    <col min="18" max="19" width="12.44140625" style="1679" customWidth="1"/>
    <col min="20" max="21" width="12.109375" style="1679" customWidth="1"/>
    <col min="22" max="22" width="6.33203125" style="1679" customWidth="1"/>
    <col min="23" max="30" width="6.77734375" style="1679" customWidth="1"/>
    <col min="31" max="31" width="8" style="1679" customWidth="1"/>
    <col min="32" max="34" width="7.21875" style="1679" customWidth="1"/>
    <col min="35" max="39" width="8" style="1679" customWidth="1"/>
    <col min="40" max="40" width="13.77734375" style="1678"/>
    <col min="41" max="41" width="11.6640625" style="1678" customWidth="1"/>
    <col min="42" max="42" width="9.77734375" style="1678" customWidth="1"/>
    <col min="43" max="67" width="13.77734375" style="1678"/>
    <col min="68" max="16384" width="13.77734375" style="1679"/>
  </cols>
  <sheetData>
    <row r="1" spans="1:67" ht="18" thickBot="1">
      <c r="A1" s="1676" t="s">
        <v>1160</v>
      </c>
      <c r="B1" s="677"/>
      <c r="C1" s="1188"/>
      <c r="D1" s="1677"/>
      <c r="E1" s="1188"/>
      <c r="F1" s="1188"/>
      <c r="G1" s="1188"/>
      <c r="H1" s="1188"/>
      <c r="I1" s="1188"/>
      <c r="J1" s="1188"/>
      <c r="K1" s="157"/>
      <c r="L1" s="157"/>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 thickBot="1">
      <c r="A2" s="1680" t="s">
        <v>1161</v>
      </c>
      <c r="B2" s="1042">
        <f>项目基本情况!D3</f>
        <v>44917</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4.4"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5"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57.6">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3382</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3.8">
      <c r="A6" s="1709" t="str">
        <f>'数据-汇总表'!C19</f>
        <v>加油站</v>
      </c>
      <c r="B6" s="1710" t="str">
        <f>IF(A6=0,"","经营性")</f>
        <v>经营性</v>
      </c>
      <c r="C6" s="1711" t="s">
        <v>673</v>
      </c>
      <c r="D6" s="856">
        <f>SUMIF(项目基本情况!C$12:I$12,C6,项目基本情况!C$14:I$14)</f>
        <v>40</v>
      </c>
      <c r="E6" s="855">
        <f>IF(B6="","",SUMIF(项目基本情况!C$12:H$12,C6,项目基本情况!C$13:H$13))</f>
        <v>51981</v>
      </c>
      <c r="F6" s="64">
        <f>SUMIF(项目基本情况!C$12:I$12,C6,项目基本情况!C$15:I$15)</f>
        <v>19.350000000000001</v>
      </c>
      <c r="G6" s="65">
        <f>IF(ISERROR(ROUND(POWER(1+H6,D6-F6)*(POWER(1+H6,F6)-1)/(POWER(1+H6,D6)-1),3)),0,ROUND(POWER(1+H6,D6-F6)*(POWER(1+H6,F6)-1)/(POWER(1+H6,D6)-1),3))</f>
        <v>0.71199999999999997</v>
      </c>
      <c r="H6" s="730">
        <v>0.05</v>
      </c>
      <c r="I6" s="730">
        <v>5.5E-2</v>
      </c>
      <c r="J6" s="66">
        <v>7.0000000000000007E-2</v>
      </c>
      <c r="K6" s="1027">
        <f>SUMIF('数据-汇总表'!C$19:C$33,A6,'数据-汇总表'!E$19:E$33)</f>
        <v>204.38</v>
      </c>
      <c r="L6" s="731">
        <v>10000</v>
      </c>
      <c r="M6" s="67">
        <f t="shared" ref="M6:M14" si="0">ROUND(K6*L6/10000,0)</f>
        <v>204</v>
      </c>
      <c r="N6" s="729">
        <f>N22</f>
        <v>0.66</v>
      </c>
      <c r="O6" s="67" t="str">
        <f>IF($N$5="成新度","——",ROUND(M6*N6,0))</f>
        <v>——</v>
      </c>
      <c r="P6" s="68" t="str">
        <f>IF($N$5="成新度","——",M6-O6)</f>
        <v>——</v>
      </c>
      <c r="Q6" s="732">
        <v>0.1</v>
      </c>
      <c r="R6" s="69">
        <f ca="1">SUMIF('数据-汇总表'!C$19:C$33,A6,'数据-汇总表'!R$19:R$27)</f>
        <v>2229.4899999999998</v>
      </c>
      <c r="S6" s="51">
        <f>IF('数据-汇总表'!$I$17="按面积比例",SUMIF('数据-汇总表'!C$19:C$33,A6,'数据-汇总表'!K$19:K$33),SUMIF('数据-汇总表'!C$19:C$33,A6,'数据-汇总表'!N$19:N$33))</f>
        <v>0</v>
      </c>
      <c r="T6" s="1169">
        <f>ROUND($L$14*S6/10000,0)</f>
        <v>0</v>
      </c>
      <c r="U6" s="3427">
        <v>2000000</v>
      </c>
      <c r="V6" s="70">
        <v>0</v>
      </c>
      <c r="W6" s="70">
        <v>0</v>
      </c>
      <c r="X6" s="1037"/>
      <c r="Y6" s="71">
        <f>N6</f>
        <v>0.66</v>
      </c>
      <c r="Z6" s="3456">
        <v>3000000</v>
      </c>
      <c r="AA6" s="66">
        <v>0</v>
      </c>
      <c r="AB6" s="66">
        <v>0</v>
      </c>
      <c r="AC6" s="1037"/>
      <c r="AD6" s="73">
        <v>0.6</v>
      </c>
      <c r="AE6" s="1038">
        <f ca="1">IF(AN6="",0,SUMIF(INDIRECT("'"&amp;AN6&amp;"'"&amp;"!E:E"),$AE$5,INDIRECT("'"&amp;AN6&amp;"'"&amp;"!F:F")))</f>
        <v>19.350000000000001</v>
      </c>
      <c r="AF6" s="3455">
        <f>15-V23</f>
        <v>13.77</v>
      </c>
      <c r="AG6" s="136">
        <f ca="1">IF(AF6="",0,AE6-AF6)</f>
        <v>5.5800000000000018</v>
      </c>
      <c r="AH6" s="74">
        <v>1</v>
      </c>
      <c r="AI6" s="76">
        <v>1</v>
      </c>
      <c r="AJ6" s="77"/>
      <c r="AK6" s="78">
        <v>0</v>
      </c>
      <c r="AL6" s="3453">
        <v>1E-3</v>
      </c>
      <c r="AM6" s="3454">
        <v>5.0000000000000001E-3</v>
      </c>
      <c r="AN6" s="1712" t="s">
        <v>3383</v>
      </c>
      <c r="AO6" s="52">
        <f ca="1">SUMIF(INDIRECT("'"&amp;AN6&amp;"'"&amp;"!A:A"),"总价",INDIRECT("'"&amp;AN6&amp;"'"&amp;"!B:B"))</f>
        <v>2758</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3.8">
      <c r="A7" s="1709">
        <f>'数据-汇总表'!C20</f>
        <v>0</v>
      </c>
      <c r="B7" s="1710" t="str">
        <f t="shared" ref="B7:B13" si="1">IF(A7=0,"","经营性")</f>
        <v/>
      </c>
      <c r="C7" s="1711"/>
      <c r="D7" s="856">
        <f>SUMIF(项目基本情况!C$12:I$12,C7,项目基本情况!C$14:I$14)</f>
        <v>0</v>
      </c>
      <c r="E7" s="855"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0"/>
      <c r="I7" s="730"/>
      <c r="J7" s="66"/>
      <c r="K7" s="1027">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7"/>
      <c r="V7" s="70"/>
      <c r="W7" s="70"/>
      <c r="X7" s="1037"/>
      <c r="Y7" s="71"/>
      <c r="Z7" s="72"/>
      <c r="AA7" s="66"/>
      <c r="AB7" s="66"/>
      <c r="AC7" s="1037"/>
      <c r="AD7" s="73"/>
      <c r="AE7" s="1038">
        <f t="shared" ref="AE7:AE13" ca="1" si="6">IF(AN7="",0,SUMIF(INDIRECT("'"&amp;AN7&amp;"'"&amp;"!E:E"),$AE$5,INDIRECT("'"&amp;AN7&amp;"'"&amp;"!F:F")))</f>
        <v>0</v>
      </c>
      <c r="AF7" s="1345"/>
      <c r="AG7" s="136">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3.8">
      <c r="A8" s="1709">
        <f>'数据-汇总表'!C21</f>
        <v>0</v>
      </c>
      <c r="B8" s="1710" t="str">
        <f t="shared" si="1"/>
        <v/>
      </c>
      <c r="C8" s="1711"/>
      <c r="D8" s="856">
        <f>SUMIF(项目基本情况!C$12:I$12,C8,项目基本情况!C$14:I$14)</f>
        <v>0</v>
      </c>
      <c r="E8" s="855" t="str">
        <f>IF(B8="","",SUMIF(项目基本情况!C$12:H$12,C8,项目基本情况!C$13:H$13))</f>
        <v/>
      </c>
      <c r="F8" s="64">
        <f>SUMIF(项目基本情况!C$12:I$12,C8,项目基本情况!C$15:I$15)</f>
        <v>0</v>
      </c>
      <c r="G8" s="65">
        <f t="shared" si="2"/>
        <v>0</v>
      </c>
      <c r="H8" s="730"/>
      <c r="I8" s="730"/>
      <c r="J8" s="66"/>
      <c r="K8" s="1027">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8"/>
      <c r="V8" s="733"/>
      <c r="W8" s="733"/>
      <c r="X8" s="1037"/>
      <c r="Y8" s="71"/>
      <c r="Z8" s="72"/>
      <c r="AA8" s="66"/>
      <c r="AB8" s="66"/>
      <c r="AC8" s="1037"/>
      <c r="AD8" s="73"/>
      <c r="AE8" s="1038">
        <f t="shared" ca="1" si="6"/>
        <v>0</v>
      </c>
      <c r="AF8" s="1345"/>
      <c r="AG8" s="136">
        <f t="shared" si="7"/>
        <v>0</v>
      </c>
      <c r="AH8" s="734"/>
      <c r="AI8" s="76"/>
      <c r="AJ8" s="77"/>
      <c r="AK8" s="735"/>
      <c r="AL8" s="736"/>
      <c r="AM8" s="737"/>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3.8">
      <c r="A9" s="1709">
        <f>'数据-汇总表'!C22</f>
        <v>0</v>
      </c>
      <c r="B9" s="1710" t="str">
        <f t="shared" si="1"/>
        <v/>
      </c>
      <c r="C9" s="1711"/>
      <c r="D9" s="856">
        <f>SUMIF(项目基本情况!C$12:I$12,C9,项目基本情况!C$14:I$14)</f>
        <v>0</v>
      </c>
      <c r="E9" s="855" t="str">
        <f>IF(B9="","",SUMIF(项目基本情况!C$12:H$12,C9,项目基本情况!C$13:H$13))</f>
        <v/>
      </c>
      <c r="F9" s="64">
        <f>SUMIF(项目基本情况!C$12:I$12,C9,项目基本情况!C$15:I$15)</f>
        <v>0</v>
      </c>
      <c r="G9" s="65">
        <f t="shared" si="2"/>
        <v>0</v>
      </c>
      <c r="H9" s="66"/>
      <c r="I9" s="66"/>
      <c r="J9" s="66"/>
      <c r="K9" s="1027">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7"/>
      <c r="V9" s="70"/>
      <c r="W9" s="70"/>
      <c r="X9" s="1037"/>
      <c r="Y9" s="71"/>
      <c r="Z9" s="72"/>
      <c r="AA9" s="66"/>
      <c r="AB9" s="66"/>
      <c r="AC9" s="1037"/>
      <c r="AD9" s="73"/>
      <c r="AE9" s="1038">
        <f t="shared" ca="1" si="6"/>
        <v>0</v>
      </c>
      <c r="AF9" s="1345"/>
      <c r="AG9" s="136">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3.8">
      <c r="A10" s="1709">
        <f>'数据-汇总表'!C23</f>
        <v>0</v>
      </c>
      <c r="B10" s="1710" t="str">
        <f t="shared" si="1"/>
        <v/>
      </c>
      <c r="C10" s="1711"/>
      <c r="D10" s="856">
        <f>SUMIF(项目基本情况!C$12:I$12,C10,项目基本情况!C$14:I$14)</f>
        <v>0</v>
      </c>
      <c r="E10" s="855" t="str">
        <f>IF(B10="","",SUMIF(项目基本情况!C$12:H$12,C10,项目基本情况!C$13:H$13))</f>
        <v/>
      </c>
      <c r="F10" s="64">
        <f>SUMIF(项目基本情况!C$12:I$12,C10,项目基本情况!C$15:I$15)</f>
        <v>0</v>
      </c>
      <c r="G10" s="65">
        <f t="shared" si="2"/>
        <v>0</v>
      </c>
      <c r="H10" s="66"/>
      <c r="I10" s="66"/>
      <c r="J10" s="66"/>
      <c r="K10" s="1027">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7"/>
      <c r="V10" s="70"/>
      <c r="W10" s="70"/>
      <c r="X10" s="1037"/>
      <c r="Y10" s="71"/>
      <c r="Z10" s="72"/>
      <c r="AA10" s="66"/>
      <c r="AB10" s="66"/>
      <c r="AC10" s="1037"/>
      <c r="AD10" s="73"/>
      <c r="AE10" s="1038">
        <f t="shared" ca="1" si="6"/>
        <v>0</v>
      </c>
      <c r="AF10" s="1345"/>
      <c r="AG10" s="136">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3.8">
      <c r="A11" s="1709">
        <f>'数据-汇总表'!C24</f>
        <v>0</v>
      </c>
      <c r="B11" s="1710" t="str">
        <f t="shared" si="1"/>
        <v/>
      </c>
      <c r="C11" s="1711"/>
      <c r="D11" s="856">
        <f>SUMIF(项目基本情况!C$12:I$12,C11,项目基本情况!C$14:I$14)</f>
        <v>0</v>
      </c>
      <c r="E11" s="855" t="str">
        <f>IF(B11="","",SUMIF(项目基本情况!C$12:H$12,C11,项目基本情况!C$13:H$13))</f>
        <v/>
      </c>
      <c r="F11" s="64">
        <f>SUMIF(项目基本情况!C$12:I$12,C11,项目基本情况!C$15:I$15)</f>
        <v>0</v>
      </c>
      <c r="G11" s="65">
        <f t="shared" si="2"/>
        <v>0</v>
      </c>
      <c r="H11" s="66"/>
      <c r="I11" s="66"/>
      <c r="J11" s="66"/>
      <c r="K11" s="1027">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7"/>
      <c r="V11" s="66"/>
      <c r="W11" s="66"/>
      <c r="X11" s="1037"/>
      <c r="Y11" s="71"/>
      <c r="Z11" s="84"/>
      <c r="AA11" s="66"/>
      <c r="AB11" s="66"/>
      <c r="AC11" s="1037"/>
      <c r="AD11" s="73"/>
      <c r="AE11" s="1038">
        <f t="shared" ca="1" si="6"/>
        <v>0</v>
      </c>
      <c r="AF11" s="1345"/>
      <c r="AG11" s="136">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3.8">
      <c r="A12" s="1709">
        <f>'数据-汇总表'!C25</f>
        <v>0</v>
      </c>
      <c r="B12" s="1710" t="str">
        <f t="shared" si="1"/>
        <v/>
      </c>
      <c r="C12" s="1711"/>
      <c r="D12" s="856">
        <f>SUMIF(项目基本情况!C$12:I$12,C12,项目基本情况!C$14:I$14)</f>
        <v>0</v>
      </c>
      <c r="E12" s="855"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7"/>
      <c r="V12" s="66"/>
      <c r="W12" s="66"/>
      <c r="X12" s="1037"/>
      <c r="Y12" s="71"/>
      <c r="Z12" s="84"/>
      <c r="AA12" s="66"/>
      <c r="AB12" s="66"/>
      <c r="AC12" s="1037"/>
      <c r="AD12" s="73"/>
      <c r="AE12" s="1038">
        <f t="shared" ca="1" si="6"/>
        <v>0</v>
      </c>
      <c r="AF12" s="1345"/>
      <c r="AG12" s="136">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3.8">
      <c r="A13" s="1709">
        <f>'数据-汇总表'!C26</f>
        <v>0</v>
      </c>
      <c r="B13" s="1710" t="str">
        <f t="shared" si="1"/>
        <v/>
      </c>
      <c r="C13" s="1711"/>
      <c r="D13" s="856">
        <f>SUMIF(项目基本情况!C$12:I$12,C13,项目基本情况!C$14:I$14)</f>
        <v>0</v>
      </c>
      <c r="E13" s="855"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9"/>
      <c r="V13" s="70"/>
      <c r="W13" s="70"/>
      <c r="X13" s="1037"/>
      <c r="Y13" s="71"/>
      <c r="Z13" s="72"/>
      <c r="AA13" s="66"/>
      <c r="AB13" s="66"/>
      <c r="AC13" s="1037"/>
      <c r="AD13" s="73"/>
      <c r="AE13" s="1038">
        <f t="shared" ca="1" si="6"/>
        <v>0</v>
      </c>
      <c r="AF13" s="1345"/>
      <c r="AG13" s="136">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4">
      <c r="A14" s="1714" t="s">
        <v>1205</v>
      </c>
      <c r="B14" s="1710" t="s">
        <v>1206</v>
      </c>
      <c r="C14" s="1715" t="s">
        <v>1205</v>
      </c>
      <c r="D14" s="856"/>
      <c r="E14" s="855"/>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6"/>
      <c r="AH14" s="1038"/>
      <c r="AI14" s="1354"/>
      <c r="AJ14" s="702"/>
      <c r="AK14" s="1039"/>
      <c r="AL14" s="1040"/>
      <c r="AM14" s="1041"/>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8.8">
      <c r="A15" s="1714" t="s">
        <v>1207</v>
      </c>
      <c r="B15" s="1710" t="s">
        <v>1206</v>
      </c>
      <c r="C15" s="1715" t="s">
        <v>1208</v>
      </c>
      <c r="D15" s="856"/>
      <c r="E15" s="855"/>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6"/>
      <c r="AH15" s="1038"/>
      <c r="AI15" s="1354"/>
      <c r="AJ15" s="702"/>
      <c r="AK15" s="1039"/>
      <c r="AL15" s="1040"/>
      <c r="AM15" s="1041"/>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 thickBot="1">
      <c r="A16" s="1716" t="s">
        <v>1209</v>
      </c>
      <c r="B16" s="88"/>
      <c r="C16" s="831"/>
      <c r="D16" s="1717"/>
      <c r="E16" s="88"/>
      <c r="F16" s="88"/>
      <c r="G16" s="89">
        <f>ROUND(SUMPRODUCT(G6:G13,K6:K13)/SUMPRODUCT((G6:G13&gt;0)*(K6:K13)),3)</f>
        <v>0.71199999999999997</v>
      </c>
      <c r="H16" s="90">
        <f>ROUND(SUMPRODUCT(H6:H13,K6:K13)/SUMPRODUCT((H6:H13&gt;0)*(K6:K13)),3)</f>
        <v>0.05</v>
      </c>
      <c r="I16" s="91"/>
      <c r="J16" s="91"/>
      <c r="K16" s="92">
        <f>SUM(K6:K15)</f>
        <v>204.38</v>
      </c>
      <c r="L16" s="93">
        <f>ROUND(M16*10000/SUM(K6:K14),0)</f>
        <v>9981</v>
      </c>
      <c r="M16" s="93">
        <f>SUM(M6:M14)</f>
        <v>204</v>
      </c>
      <c r="N16" s="94">
        <f>ROUND(SUMPRODUCT(M6:M14,N6:N14)/M16,3)</f>
        <v>0.66</v>
      </c>
      <c r="O16" s="93">
        <f>SUM(O6:O14)</f>
        <v>0</v>
      </c>
      <c r="P16" s="93">
        <f>SUM(P6:P14)</f>
        <v>0</v>
      </c>
      <c r="Q16" s="95">
        <f>ROUND(SUMPRODUCT(Q6:Q13,K6:K13)/SUMPRODUCT((Q6:Q13&gt;0)*(K6:K13)),2)</f>
        <v>0.1</v>
      </c>
      <c r="R16" s="1031">
        <f ca="1">SUM(R6:R13)</f>
        <v>2229.4899999999998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8" thickBot="1">
      <c r="A17" s="1718"/>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4">
      <c r="A19" s="1719" t="s">
        <v>1211</v>
      </c>
      <c r="B19" s="103">
        <v>0</v>
      </c>
      <c r="C19" s="2796" t="s">
        <v>2305</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4">
      <c r="A20" s="1720" t="s">
        <v>1212</v>
      </c>
      <c r="B20" s="3452">
        <v>1</v>
      </c>
      <c r="C20" s="2797" t="s">
        <v>2303</v>
      </c>
      <c r="D20" s="2673"/>
      <c r="E20" s="2670"/>
      <c r="F20" s="2670"/>
      <c r="G20" s="2670"/>
      <c r="H20" s="2670"/>
      <c r="I20" s="2670"/>
      <c r="J20" s="2670"/>
      <c r="K20" s="2669"/>
      <c r="L20" s="2669"/>
      <c r="M20" s="2668"/>
      <c r="N20" s="2668">
        <f>ROUND(1-(1-2%)*(2022-2002)/50,2)</f>
        <v>0.61</v>
      </c>
      <c r="O20" s="2668"/>
      <c r="P20" s="2668"/>
      <c r="Q20" s="2668"/>
      <c r="R20" s="2668"/>
      <c r="S20" s="2668"/>
      <c r="T20" s="2668"/>
      <c r="U20" s="2668">
        <f>U6*(1+V20)^AF6</f>
        <v>3004682.4466936192</v>
      </c>
      <c r="V20" s="3449">
        <v>0.03</v>
      </c>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4">
      <c r="A21" s="1721" t="s">
        <v>1213</v>
      </c>
      <c r="B21" s="3452">
        <v>1</v>
      </c>
      <c r="C21" s="2670"/>
      <c r="D21" s="2673"/>
      <c r="E21" s="2670"/>
      <c r="F21" s="2670"/>
      <c r="G21" s="2670"/>
      <c r="H21" s="2670"/>
      <c r="I21" s="2670"/>
      <c r="J21" s="2670"/>
      <c r="K21" s="2669"/>
      <c r="L21" s="2669"/>
      <c r="M21" s="2668"/>
      <c r="N21" s="2668">
        <v>0.7</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4">
      <c r="A22" s="1720" t="s">
        <v>1214</v>
      </c>
      <c r="B22" s="104">
        <f>B19+B20</f>
        <v>1</v>
      </c>
      <c r="C22" s="2670"/>
      <c r="D22" s="2673"/>
      <c r="E22" s="2670"/>
      <c r="F22" s="2670"/>
      <c r="G22" s="2670"/>
      <c r="H22" s="2670"/>
      <c r="I22" s="2670"/>
      <c r="J22" s="2670"/>
      <c r="K22" s="2669"/>
      <c r="L22" s="2669"/>
      <c r="M22" s="2668"/>
      <c r="N22" s="2668">
        <f>ROUND((N20+N21)/2,2)</f>
        <v>0.66</v>
      </c>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4">
      <c r="A23" s="1721" t="s">
        <v>1215</v>
      </c>
      <c r="B23" s="104">
        <f>B19+B21</f>
        <v>1</v>
      </c>
      <c r="C23" s="2670"/>
      <c r="D23" s="2673"/>
      <c r="E23" s="2670"/>
      <c r="F23" s="2670"/>
      <c r="G23" s="2670"/>
      <c r="H23" s="2670"/>
      <c r="I23" s="2670"/>
      <c r="J23" s="2670"/>
      <c r="K23" s="2669"/>
      <c r="L23" s="2669"/>
      <c r="M23" s="2668"/>
      <c r="N23" s="2668"/>
      <c r="O23" s="2668"/>
      <c r="P23" s="2668"/>
      <c r="Q23" s="2668"/>
      <c r="R23" s="2668"/>
      <c r="S23" s="2668"/>
      <c r="T23" s="2668"/>
      <c r="U23" s="3446">
        <v>44469</v>
      </c>
      <c r="V23" s="2668">
        <f>ROUND((B2-U23)/365,2)</f>
        <v>1.23</v>
      </c>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1216</v>
      </c>
      <c r="B24" s="105">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4.4" thickBot="1">
      <c r="A25" s="1554"/>
      <c r="B25" s="1684"/>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1217</v>
      </c>
      <c r="B26" s="1723"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8.8">
      <c r="A27" s="1724" t="s">
        <v>1220</v>
      </c>
      <c r="B27" s="106"/>
      <c r="C27" s="2798" t="s">
        <v>2307</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8.8">
      <c r="A28" s="1726" t="s">
        <v>1221</v>
      </c>
      <c r="B28" s="109">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9.4" thickBot="1">
      <c r="A29" s="1727" t="s">
        <v>1222</v>
      </c>
      <c r="B29" s="111">
        <f ca="1">成本法!C10</f>
        <v>4</v>
      </c>
      <c r="C29" s="2799" t="s">
        <v>2294</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8.8">
      <c r="A30" s="1728" t="s">
        <v>1223</v>
      </c>
      <c r="B30" s="669">
        <v>150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8.8">
      <c r="A31" s="1726" t="s">
        <v>1224</v>
      </c>
      <c r="B31" s="110">
        <f>B30-B32</f>
        <v>150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9.4" thickBot="1">
      <c r="A32" s="1729" t="s">
        <v>1225</v>
      </c>
      <c r="B32" s="670">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4">
      <c r="A33" s="1724" t="s">
        <v>1226</v>
      </c>
      <c r="B33" s="671">
        <v>0.03</v>
      </c>
      <c r="C33" s="2800" t="s">
        <v>2295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4">
      <c r="A34" s="1726" t="s">
        <v>1227</v>
      </c>
      <c r="B34" s="112"/>
      <c r="C34" s="2800" t="s">
        <v>2296</v>
      </c>
      <c r="D34" s="2681" t="s">
        <v>2304</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4">
      <c r="A35" s="1726" t="s">
        <v>1228</v>
      </c>
      <c r="B35" s="109">
        <v>150</v>
      </c>
      <c r="C35" s="2800" t="s">
        <v>2297</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1229</v>
      </c>
      <c r="B36" s="113">
        <v>1.4999999999999999E-2</v>
      </c>
      <c r="C36" s="2800" t="s">
        <v>2298</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4">
      <c r="A37" s="1728" t="s">
        <v>1230</v>
      </c>
      <c r="B37" s="3450">
        <v>0.03</v>
      </c>
      <c r="C37" s="2800" t="s">
        <v>2299</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4">
      <c r="A38" s="1726" t="s">
        <v>1231</v>
      </c>
      <c r="B38" s="3451">
        <v>0.03</v>
      </c>
      <c r="C38" s="2800" t="s">
        <v>2299</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4">
      <c r="A39" s="1729" t="s">
        <v>1232</v>
      </c>
      <c r="B39" s="315">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8.2" thickBot="1">
      <c r="A40" s="2812" t="s">
        <v>3386</v>
      </c>
      <c r="B40" s="1075">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4">
      <c r="A41" s="1724" t="s">
        <v>1233</v>
      </c>
      <c r="B41" s="114">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4">
      <c r="A42" s="1730" t="s">
        <v>1234</v>
      </c>
      <c r="B42" s="115">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4">
      <c r="A43" s="1730" t="s">
        <v>1235</v>
      </c>
      <c r="B43" s="116">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4">
      <c r="A44" s="1731" t="s">
        <v>1236</v>
      </c>
      <c r="B44" s="117">
        <v>7.0000000000000007E-2</v>
      </c>
      <c r="C44" s="2800" t="s">
        <v>2308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4">
      <c r="A45" s="1731" t="s">
        <v>1237</v>
      </c>
      <c r="B45" s="115">
        <v>0.03</v>
      </c>
      <c r="C45" s="2799" t="s">
        <v>2300</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4">
      <c r="A46" s="1731" t="s">
        <v>1238</v>
      </c>
      <c r="B46" s="115">
        <v>0.02</v>
      </c>
      <c r="C46" s="2799" t="s">
        <v>2301</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1239</v>
      </c>
      <c r="B47" s="118"/>
      <c r="C47" s="2802" t="s">
        <v>2309</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4">
      <c r="A48" s="1733" t="s">
        <v>1240</v>
      </c>
      <c r="B48" s="119">
        <v>0.03</v>
      </c>
      <c r="C48" s="2799" t="s">
        <v>2300</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1241</v>
      </c>
      <c r="B49" s="115">
        <v>5.0000000000000001E-4</v>
      </c>
      <c r="C49" s="2799" t="s">
        <v>2302</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4">
      <c r="A50" s="1734" t="s">
        <v>1242</v>
      </c>
      <c r="B50" s="120">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1243</v>
      </c>
      <c r="B51" s="121">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4">
      <c r="A52" s="1734" t="s">
        <v>1244</v>
      </c>
      <c r="B52" s="122">
        <f>SUMIF(A54:A63,B53,B54:B63)</f>
        <v>3</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8.8">
      <c r="A53" s="1726" t="s">
        <v>1245</v>
      </c>
      <c r="B53" s="1735" t="s">
        <v>303</v>
      </c>
      <c r="C53" s="2658" t="s">
        <v>1246</v>
      </c>
      <c r="D53" s="2801" t="s">
        <v>2306</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4">
      <c r="A54" s="1736"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4">
      <c r="A55" s="1736"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4">
      <c r="A56" s="1736"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4">
      <c r="A57" s="1736"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4">
      <c r="A58" s="1736" t="s">
        <v>1251</v>
      </c>
      <c r="B58" s="75">
        <v>3</v>
      </c>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4">
      <c r="A59" s="1736"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4">
      <c r="A60" s="1736"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4">
      <c r="A61" s="1736"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4">
      <c r="A62" s="1736"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1256</v>
      </c>
      <c r="B63" s="123"/>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3" customWidth="1"/>
    <col min="2" max="2" width="24.44140625" style="1569" customWidth="1"/>
    <col min="3" max="3" width="24.44140625" style="2507" customWidth="1"/>
    <col min="4" max="4" width="2.6640625" style="2507" customWidth="1"/>
    <col min="5" max="5" width="5.88671875" style="2507" customWidth="1"/>
    <col min="6" max="6" width="27" style="1569" customWidth="1"/>
    <col min="7" max="7" width="27" style="2508" customWidth="1"/>
    <col min="8" max="8" width="11.88671875" style="2488" customWidth="1"/>
    <col min="9" max="9" width="16.77734375" style="2489" customWidth="1"/>
    <col min="10" max="10" width="2.6640625" style="2488" customWidth="1"/>
    <col min="11" max="11" width="11.88671875" style="2488" customWidth="1"/>
    <col min="12" max="12" width="16.77734375" style="2489" customWidth="1"/>
    <col min="13" max="13" width="2.6640625" style="2488" customWidth="1"/>
    <col min="14" max="14" width="11.88671875" style="2488" customWidth="1"/>
    <col min="15" max="15" width="16.77734375" style="2489" customWidth="1"/>
    <col min="16" max="16" width="2.6640625" style="2488" customWidth="1"/>
    <col min="17" max="17" width="11.88671875" style="2488" customWidth="1"/>
    <col min="18" max="18" width="16.77734375" style="2490" customWidth="1"/>
    <col min="19" max="29" width="9" style="797"/>
    <col min="30" max="16384" width="9" style="1683"/>
  </cols>
  <sheetData>
    <row r="1" spans="1:29" s="2454" customFormat="1" ht="18" thickBot="1">
      <c r="A1" s="3547" t="s">
        <v>2286</v>
      </c>
      <c r="B1" s="3548"/>
      <c r="C1" s="3548"/>
      <c r="D1" s="3548"/>
      <c r="E1" s="3548"/>
      <c r="F1" s="3548"/>
      <c r="G1" s="3548"/>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4.4" thickBot="1">
      <c r="A2" s="2455"/>
      <c r="B2" s="2456"/>
      <c r="C2" s="2457" t="s">
        <v>2281</v>
      </c>
      <c r="D2" s="2458"/>
      <c r="E2" s="2455"/>
      <c r="F2" s="2459"/>
      <c r="G2" s="2457" t="s">
        <v>2282</v>
      </c>
      <c r="H2" s="797"/>
      <c r="I2" s="797"/>
      <c r="J2" s="797"/>
      <c r="K2" s="797"/>
      <c r="L2" s="797"/>
      <c r="M2" s="797"/>
      <c r="N2" s="797"/>
      <c r="O2" s="797"/>
      <c r="P2" s="797"/>
      <c r="Q2" s="797"/>
      <c r="R2" s="797"/>
    </row>
    <row r="3" spans="1:29" ht="48">
      <c r="A3" s="2438" t="s">
        <v>2283</v>
      </c>
      <c r="B3" s="2460" t="s">
        <v>2252</v>
      </c>
      <c r="C3" s="2461" t="s">
        <v>2284</v>
      </c>
      <c r="D3" s="2462"/>
      <c r="E3" s="2439" t="s">
        <v>2283</v>
      </c>
      <c r="F3" s="2463" t="s">
        <v>2253</v>
      </c>
      <c r="G3" s="2464" t="s">
        <v>2285</v>
      </c>
      <c r="H3" s="797"/>
      <c r="I3" s="797"/>
      <c r="J3" s="797"/>
      <c r="K3" s="797"/>
      <c r="L3" s="797"/>
      <c r="M3" s="797"/>
      <c r="N3" s="797"/>
      <c r="O3" s="797"/>
      <c r="P3" s="797"/>
      <c r="Q3" s="797"/>
      <c r="R3" s="797"/>
    </row>
    <row r="4" spans="1:29" ht="37.200000000000003">
      <c r="A4" s="2439"/>
      <c r="B4" s="321" t="s">
        <v>2254</v>
      </c>
      <c r="C4" s="2465" t="s">
        <v>2255</v>
      </c>
      <c r="D4" s="2462"/>
      <c r="E4" s="2466"/>
      <c r="F4" s="1370" t="s">
        <v>2256</v>
      </c>
      <c r="G4" s="2467" t="s">
        <v>2257</v>
      </c>
      <c r="H4" s="797"/>
      <c r="I4" s="797"/>
      <c r="J4" s="797"/>
      <c r="K4" s="797"/>
      <c r="L4" s="797"/>
      <c r="M4" s="797"/>
      <c r="N4" s="797"/>
      <c r="O4" s="797"/>
      <c r="P4" s="797"/>
      <c r="Q4" s="797"/>
      <c r="R4" s="797"/>
    </row>
    <row r="5" spans="1:29" ht="37.200000000000003">
      <c r="A5" s="2439"/>
      <c r="B5" s="321" t="s">
        <v>2258</v>
      </c>
      <c r="C5" s="2465" t="s">
        <v>2259</v>
      </c>
      <c r="D5" s="2462"/>
      <c r="E5" s="2466"/>
      <c r="F5" s="321" t="s">
        <v>2260</v>
      </c>
      <c r="G5" s="2467" t="s">
        <v>2261</v>
      </c>
      <c r="H5" s="797"/>
      <c r="I5" s="797"/>
      <c r="J5" s="797"/>
      <c r="K5" s="797"/>
      <c r="L5" s="797"/>
      <c r="M5" s="797"/>
      <c r="N5" s="797"/>
      <c r="O5" s="797"/>
      <c r="P5" s="797"/>
      <c r="Q5" s="797"/>
      <c r="R5" s="797"/>
    </row>
    <row r="6" spans="1:29" ht="48">
      <c r="A6" s="2439"/>
      <c r="B6" s="321" t="s">
        <v>2262</v>
      </c>
      <c r="C6" s="2467" t="s">
        <v>2257</v>
      </c>
      <c r="D6" s="2462"/>
      <c r="E6" s="2466"/>
      <c r="F6" s="321" t="s">
        <v>2263</v>
      </c>
      <c r="G6" s="2467" t="s">
        <v>2264</v>
      </c>
      <c r="H6" s="797"/>
      <c r="I6" s="797"/>
      <c r="J6" s="797"/>
      <c r="K6" s="797"/>
      <c r="L6" s="797"/>
      <c r="M6" s="797"/>
      <c r="N6" s="797"/>
      <c r="O6" s="797"/>
      <c r="P6" s="797"/>
      <c r="Q6" s="797"/>
      <c r="R6" s="797"/>
    </row>
    <row r="7" spans="1:29" ht="36.6" thickBot="1">
      <c r="A7" s="2439"/>
      <c r="B7" s="321" t="s">
        <v>2260</v>
      </c>
      <c r="C7" s="2467" t="s">
        <v>2261</v>
      </c>
      <c r="D7" s="2468"/>
      <c r="E7" s="2469"/>
      <c r="F7" s="2470" t="s">
        <v>2265</v>
      </c>
      <c r="G7" s="2471" t="s">
        <v>2266</v>
      </c>
      <c r="H7" s="797"/>
      <c r="I7" s="797"/>
      <c r="J7" s="797"/>
      <c r="K7" s="797"/>
      <c r="L7" s="797"/>
      <c r="M7" s="797"/>
      <c r="N7" s="797"/>
      <c r="O7" s="797"/>
      <c r="P7" s="797"/>
      <c r="Q7" s="797"/>
      <c r="R7" s="797"/>
    </row>
    <row r="8" spans="1:29" ht="24">
      <c r="A8" s="2439"/>
      <c r="B8" s="321" t="s">
        <v>2263</v>
      </c>
      <c r="C8" s="2467" t="s">
        <v>2264</v>
      </c>
      <c r="D8" s="2468"/>
      <c r="E8" s="2468"/>
      <c r="F8" s="2472"/>
      <c r="G8" s="2472"/>
      <c r="H8" s="797"/>
      <c r="I8" s="797"/>
      <c r="J8" s="797"/>
      <c r="K8" s="797"/>
      <c r="L8" s="797"/>
      <c r="M8" s="797"/>
      <c r="N8" s="797"/>
      <c r="O8" s="797"/>
      <c r="P8" s="797"/>
      <c r="Q8" s="797"/>
      <c r="R8" s="797"/>
    </row>
    <row r="9" spans="1:29" ht="24">
      <c r="A9" s="2439"/>
      <c r="B9" s="321" t="s">
        <v>2267</v>
      </c>
      <c r="C9" s="2465" t="s">
        <v>2268</v>
      </c>
      <c r="D9" s="2462"/>
      <c r="E9" s="2468"/>
      <c r="F9" s="2472"/>
      <c r="G9" s="2472"/>
      <c r="H9" s="797"/>
      <c r="I9" s="797"/>
      <c r="J9" s="797"/>
      <c r="K9" s="797"/>
      <c r="L9" s="797"/>
      <c r="M9" s="797"/>
      <c r="N9" s="797"/>
      <c r="O9" s="797"/>
      <c r="P9" s="797"/>
      <c r="Q9" s="797"/>
      <c r="R9" s="797"/>
    </row>
    <row r="10" spans="1:29" s="2478" customFormat="1" ht="14.4" thickBot="1">
      <c r="A10" s="2440"/>
      <c r="B10" s="2473" t="s">
        <v>2269</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7.399999999999999">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 thickBot="1">
      <c r="A13" s="2487" t="s">
        <v>2287</v>
      </c>
      <c r="B13" s="2481"/>
      <c r="C13" s="2481"/>
      <c r="D13" s="2479"/>
      <c r="E13" s="2481"/>
      <c r="F13" s="2481"/>
      <c r="G13" s="2481"/>
    </row>
    <row r="14" spans="1:29" ht="14.4" thickBot="1">
      <c r="A14" s="2491"/>
      <c r="B14" s="2491"/>
      <c r="C14" s="2492" t="s">
        <v>2270</v>
      </c>
      <c r="D14" s="2462"/>
      <c r="E14" s="2493"/>
      <c r="F14" s="2493"/>
      <c r="G14" s="2457" t="s">
        <v>2271</v>
      </c>
    </row>
    <row r="15" spans="1:29" ht="52.8">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9.6">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9.6">
      <c r="A17" s="2443"/>
      <c r="B17" s="2497" t="s">
        <v>2258</v>
      </c>
      <c r="C17" s="2498" t="str">
        <f>C5</f>
        <v>估价对象位于XX商圈，周边办公楼项目较多，入驻率高，办公集聚程度较好</v>
      </c>
      <c r="D17" s="2468"/>
      <c r="E17" s="2444"/>
      <c r="F17" s="2499" t="s">
        <v>2275</v>
      </c>
      <c r="G17" s="2501"/>
    </row>
    <row r="18" spans="1:18" ht="52.8">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6.4">
      <c r="A19" s="2443"/>
      <c r="B19" s="2499" t="s">
        <v>2276</v>
      </c>
      <c r="C19" s="2501"/>
      <c r="D19" s="2462"/>
      <c r="E19" s="2444"/>
      <c r="F19" s="321" t="s">
        <v>2260</v>
      </c>
      <c r="G19" s="2500" t="str">
        <f>G5</f>
        <v>估价对象所在区域公共配套设施齐备情况</v>
      </c>
    </row>
    <row r="20" spans="1:18" ht="26.4">
      <c r="A20" s="2443"/>
      <c r="B20" s="2499" t="s">
        <v>2277</v>
      </c>
      <c r="C20" s="2498" t="str">
        <f>C9</f>
        <v>区域自然环境：；人文环境；综合评价环境状况一般</v>
      </c>
      <c r="D20" s="2468"/>
      <c r="E20" s="2444"/>
      <c r="F20" s="321" t="s">
        <v>2263</v>
      </c>
      <c r="G20" s="2500" t="str">
        <f>G6</f>
        <v>估价对象所在区域基础设施水平</v>
      </c>
    </row>
    <row r="21" spans="1:18" ht="26.4">
      <c r="A21" s="2443"/>
      <c r="B21" s="321" t="s">
        <v>2260</v>
      </c>
      <c r="C21" s="2500" t="str">
        <f>C7</f>
        <v>估价对象所在区域公共配套设施齐备情况</v>
      </c>
      <c r="D21" s="2462"/>
      <c r="E21" s="2444"/>
      <c r="F21" s="2499" t="s">
        <v>2278</v>
      </c>
      <c r="G21" s="2502"/>
    </row>
    <row r="22" spans="1:18" ht="13.5" customHeight="1">
      <c r="A22" s="2443"/>
      <c r="B22" s="321" t="s">
        <v>2263</v>
      </c>
      <c r="C22" s="2500" t="str">
        <f>C8</f>
        <v>估价对象所在区域基础设施水平</v>
      </c>
      <c r="D22" s="2462"/>
      <c r="E22" s="2444"/>
      <c r="F22" s="2499" t="s">
        <v>2269</v>
      </c>
      <c r="G22" s="2501"/>
    </row>
    <row r="23" spans="1:18" s="797" customFormat="1" ht="14.4" thickBot="1">
      <c r="A23" s="2443"/>
      <c r="B23" s="2499" t="s">
        <v>2278</v>
      </c>
      <c r="C23" s="2502"/>
      <c r="D23" s="1738"/>
      <c r="E23" s="2445"/>
      <c r="F23" s="2503" t="s">
        <v>2279</v>
      </c>
      <c r="G23" s="2504"/>
      <c r="H23" s="2488"/>
      <c r="I23" s="2489"/>
      <c r="J23" s="2488"/>
      <c r="K23" s="2488"/>
      <c r="L23" s="2489"/>
      <c r="M23" s="2488"/>
      <c r="N23" s="2488"/>
      <c r="O23" s="2489"/>
      <c r="P23" s="2488"/>
      <c r="Q23" s="2488"/>
      <c r="R23" s="2490"/>
    </row>
    <row r="24" spans="1:18" s="797" customFormat="1" ht="14.4" thickBot="1">
      <c r="A24" s="2446"/>
      <c r="B24" s="2503" t="s">
        <v>2280</v>
      </c>
      <c r="C24" s="2505">
        <f>C10</f>
        <v>0</v>
      </c>
      <c r="D24" s="1738"/>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4.4"/>
  <cols>
    <col min="1" max="1" width="25" style="2510" customWidth="1"/>
    <col min="2" max="9" width="15.77734375" style="2510" customWidth="1"/>
    <col min="10" max="16384" width="9" style="2510"/>
  </cols>
  <sheetData>
    <row r="1" spans="1:11" ht="16.2">
      <c r="A1" s="2509" t="s">
        <v>665</v>
      </c>
      <c r="B1" s="2509">
        <f>SUM(B14:B23)</f>
        <v>204.38</v>
      </c>
      <c r="C1" s="2683"/>
      <c r="D1" s="2683"/>
      <c r="E1" s="2683"/>
      <c r="F1" s="2683"/>
      <c r="G1" s="2684"/>
      <c r="H1" s="2685"/>
      <c r="I1" s="2685"/>
      <c r="J1" s="2685"/>
      <c r="K1" s="2685"/>
    </row>
    <row r="2" spans="1:11" ht="16.2">
      <c r="A2" s="2509" t="s">
        <v>653</v>
      </c>
      <c r="B2" s="2509">
        <f>SUM(C14:C23)</f>
        <v>2229.4899999999998</v>
      </c>
      <c r="C2" s="2683"/>
      <c r="D2" s="2683"/>
      <c r="E2" s="2683"/>
      <c r="F2" s="2683"/>
      <c r="G2" s="2684"/>
      <c r="H2" s="2685"/>
      <c r="I2" s="2685"/>
      <c r="J2" s="2685"/>
      <c r="K2" s="2685"/>
    </row>
    <row r="3" spans="1:11" ht="15.6">
      <c r="A3" s="2509" t="s">
        <v>662</v>
      </c>
      <c r="B3" s="2511">
        <f>项目基本情况!D3</f>
        <v>44917</v>
      </c>
      <c r="C3" s="2683"/>
      <c r="D3" s="2683"/>
      <c r="E3" s="2683"/>
      <c r="F3" s="2683"/>
      <c r="G3" s="2684"/>
      <c r="H3" s="2685"/>
      <c r="I3" s="2685"/>
      <c r="J3" s="2685"/>
      <c r="K3" s="2685"/>
    </row>
    <row r="4" spans="1:11" ht="31.2">
      <c r="A4" s="2509" t="s">
        <v>661</v>
      </c>
      <c r="B4" s="2509" t="s">
        <v>660</v>
      </c>
      <c r="C4" s="2509" t="s">
        <v>659</v>
      </c>
      <c r="D4" s="2509" t="s">
        <v>658</v>
      </c>
      <c r="E4" s="2683"/>
      <c r="F4" s="2684"/>
      <c r="G4" s="2684"/>
      <c r="H4" s="2685"/>
      <c r="I4" s="2685"/>
      <c r="J4" s="2685"/>
      <c r="K4" s="2685"/>
    </row>
    <row r="5" spans="1:11" ht="15.6">
      <c r="A5" s="2509" t="s">
        <v>657</v>
      </c>
      <c r="B5" s="2509">
        <f ca="1">SUM(D14:D23)</f>
        <v>4068</v>
      </c>
      <c r="C5" s="2509">
        <f ca="1">ROUND(B5*10000/$B$1,0)</f>
        <v>199041</v>
      </c>
      <c r="D5" s="2509">
        <f ca="1">ROUND(B5*10000/$B$2,0)</f>
        <v>18246</v>
      </c>
      <c r="E5" s="2683"/>
      <c r="F5" s="2684"/>
      <c r="G5" s="2684"/>
      <c r="H5" s="2685"/>
      <c r="I5" s="2685"/>
      <c r="J5" s="2685"/>
      <c r="K5" s="2685"/>
    </row>
    <row r="6" spans="1:11" ht="15.6">
      <c r="A6" s="2509" t="s">
        <v>656</v>
      </c>
      <c r="B6" s="2509">
        <f>SUM(G14:G23)</f>
        <v>0</v>
      </c>
      <c r="C6" s="2509">
        <f>ROUND(B6*10000/$B$1,0)</f>
        <v>0</v>
      </c>
      <c r="D6" s="2509">
        <f>ROUND(B6*10000/$B$2,0)</f>
        <v>0</v>
      </c>
      <c r="E6" s="2683"/>
      <c r="F6" s="2684"/>
      <c r="G6" s="2684"/>
      <c r="H6" s="2685"/>
      <c r="I6" s="2685"/>
      <c r="J6" s="2685"/>
      <c r="K6" s="2685"/>
    </row>
    <row r="7" spans="1:11" ht="15.6">
      <c r="A7" s="2509" t="s">
        <v>664</v>
      </c>
      <c r="B7" s="2509">
        <f>SUM(H14:H23)</f>
        <v>0</v>
      </c>
      <c r="C7" s="2509">
        <f>ROUND(B7*10000/$B$1,0)</f>
        <v>0</v>
      </c>
      <c r="D7" s="2509">
        <f>ROUND(B7*10000/$B$2,0)</f>
        <v>0</v>
      </c>
      <c r="E7" s="2683"/>
      <c r="F7" s="2684"/>
      <c r="G7" s="2684"/>
      <c r="H7" s="2685"/>
      <c r="I7" s="2685"/>
      <c r="J7" s="2685"/>
      <c r="K7" s="2685"/>
    </row>
    <row r="8" spans="1:11" ht="15.6">
      <c r="A8" s="2509" t="s">
        <v>587</v>
      </c>
      <c r="B8" s="2509">
        <f>SUM(I14:I23)</f>
        <v>0</v>
      </c>
      <c r="C8" s="2509">
        <f>ROUND(B8*10000/$B$1,0)</f>
        <v>0</v>
      </c>
      <c r="D8" s="2509">
        <f>ROUND(B8*10000/$B$2,0)</f>
        <v>0</v>
      </c>
      <c r="E8" s="2683"/>
      <c r="F8" s="2684"/>
      <c r="G8" s="2684"/>
      <c r="H8" s="2685"/>
      <c r="I8" s="2685"/>
      <c r="J8" s="2685"/>
      <c r="K8" s="2685"/>
    </row>
    <row r="9" spans="1:11" ht="15.6">
      <c r="A9" s="2509" t="s">
        <v>655</v>
      </c>
      <c r="B9" s="2517"/>
      <c r="C9" s="2683"/>
      <c r="D9" s="2683"/>
      <c r="E9" s="2683"/>
      <c r="F9" s="2684"/>
      <c r="G9" s="2684"/>
      <c r="H9" s="2685"/>
      <c r="I9" s="2685"/>
      <c r="J9" s="2685"/>
      <c r="K9" s="2685"/>
    </row>
    <row r="10" spans="1:11" ht="15.6">
      <c r="A10" s="2509" t="s">
        <v>654</v>
      </c>
      <c r="B10" s="2517">
        <f>ROUND(B1*(E10*365/G10)/10000,0)</f>
        <v>0</v>
      </c>
      <c r="C10" s="3441" t="s">
        <v>3366</v>
      </c>
      <c r="D10" s="3441" t="s">
        <v>3367</v>
      </c>
      <c r="E10" s="3441"/>
      <c r="F10" s="3442" t="s">
        <v>3368</v>
      </c>
      <c r="G10" s="3443">
        <v>0.06</v>
      </c>
      <c r="H10" s="2685"/>
      <c r="I10" s="2685"/>
      <c r="J10" s="2685"/>
      <c r="K10" s="2685"/>
    </row>
    <row r="11" spans="1:11" ht="15.6">
      <c r="A11" s="2509" t="s">
        <v>670</v>
      </c>
      <c r="B11" s="2517"/>
      <c r="C11" s="2683"/>
      <c r="D11" s="2683"/>
      <c r="E11" s="2683"/>
      <c r="F11" s="2684"/>
      <c r="G11" s="2684"/>
      <c r="H11" s="2685"/>
      <c r="I11" s="2685"/>
      <c r="J11" s="2685"/>
      <c r="K11" s="2685"/>
    </row>
    <row r="12" spans="1:11" ht="15.6">
      <c r="A12" s="2683"/>
      <c r="B12" s="2683"/>
      <c r="C12" s="2683"/>
      <c r="D12" s="2683"/>
      <c r="E12" s="2683"/>
      <c r="F12" s="2684"/>
      <c r="G12" s="2684"/>
      <c r="H12" s="2685"/>
      <c r="I12" s="2685"/>
      <c r="J12" s="2685"/>
      <c r="K12" s="2685"/>
    </row>
    <row r="13" spans="1:11" ht="31.8">
      <c r="A13" s="2512" t="s">
        <v>669</v>
      </c>
      <c r="B13" s="2513" t="s">
        <v>666</v>
      </c>
      <c r="C13" s="2513" t="s">
        <v>668</v>
      </c>
      <c r="D13" s="2513" t="s">
        <v>667</v>
      </c>
      <c r="E13" s="2509" t="s">
        <v>659</v>
      </c>
      <c r="F13" s="2509" t="s">
        <v>658</v>
      </c>
      <c r="G13" s="2513" t="s">
        <v>652</v>
      </c>
      <c r="H13" s="2513" t="s">
        <v>663</v>
      </c>
      <c r="I13" s="2513" t="s">
        <v>651</v>
      </c>
      <c r="J13" s="2684"/>
      <c r="K13" s="2685"/>
    </row>
    <row r="14" spans="1:11" ht="15.6">
      <c r="A14" s="2514" t="s">
        <v>650</v>
      </c>
      <c r="B14" s="2515">
        <f>'数据-汇总表'!E3</f>
        <v>204.38</v>
      </c>
      <c r="C14" s="2515">
        <f>'数据-汇总表'!D3</f>
        <v>2229.4899999999998</v>
      </c>
      <c r="D14" s="2515">
        <f ca="1">结果表!H118</f>
        <v>4068</v>
      </c>
      <c r="E14" s="2515">
        <f ca="1">ROUND(D14*10000/B14,0)</f>
        <v>199041</v>
      </c>
      <c r="F14" s="2515">
        <f ca="1">ROUND(D14*10000/C14,0)</f>
        <v>18246</v>
      </c>
      <c r="G14" s="2515"/>
      <c r="H14" s="2515"/>
      <c r="I14" s="2515"/>
      <c r="J14" s="2684"/>
      <c r="K14" s="2685"/>
    </row>
    <row r="15" spans="1:11" ht="15.6">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5.6">
      <c r="A16" s="2514" t="s">
        <v>648</v>
      </c>
      <c r="B16" s="2516"/>
      <c r="C16" s="2516"/>
      <c r="D16" s="2516"/>
      <c r="E16" s="2515" t="e">
        <f t="shared" si="0"/>
        <v>#DIV/0!</v>
      </c>
      <c r="F16" s="2515" t="e">
        <f t="shared" si="1"/>
        <v>#DIV/0!</v>
      </c>
      <c r="G16" s="1328"/>
      <c r="H16" s="1328"/>
      <c r="I16" s="2516"/>
      <c r="J16" s="2685"/>
      <c r="K16" s="2685"/>
    </row>
    <row r="17" spans="1:11" ht="15.6">
      <c r="A17" s="2514" t="s">
        <v>647</v>
      </c>
      <c r="B17" s="2516"/>
      <c r="C17" s="2516"/>
      <c r="D17" s="2516"/>
      <c r="E17" s="2515" t="e">
        <f t="shared" si="0"/>
        <v>#DIV/0!</v>
      </c>
      <c r="F17" s="2515" t="e">
        <f t="shared" si="1"/>
        <v>#DIV/0!</v>
      </c>
      <c r="G17" s="1328"/>
      <c r="H17" s="1328"/>
      <c r="I17" s="2516"/>
      <c r="J17" s="2685"/>
      <c r="K17" s="2685"/>
    </row>
    <row r="18" spans="1:11" ht="15.6">
      <c r="A18" s="2514" t="s">
        <v>646</v>
      </c>
      <c r="B18" s="2516"/>
      <c r="C18" s="2516"/>
      <c r="D18" s="2516"/>
      <c r="E18" s="2515" t="e">
        <f t="shared" si="0"/>
        <v>#DIV/0!</v>
      </c>
      <c r="F18" s="2515" t="e">
        <f t="shared" si="1"/>
        <v>#DIV/0!</v>
      </c>
      <c r="G18" s="2516"/>
      <c r="H18" s="2516"/>
      <c r="I18" s="2516"/>
      <c r="J18" s="2685"/>
      <c r="K18" s="2685"/>
    </row>
    <row r="19" spans="1:11" ht="15.6">
      <c r="A19" s="2514" t="s">
        <v>645</v>
      </c>
      <c r="B19" s="2516"/>
      <c r="C19" s="2516"/>
      <c r="D19" s="2516"/>
      <c r="E19" s="2515" t="e">
        <f t="shared" si="0"/>
        <v>#DIV/0!</v>
      </c>
      <c r="F19" s="2515" t="e">
        <f t="shared" si="1"/>
        <v>#DIV/0!</v>
      </c>
      <c r="G19" s="2516"/>
      <c r="H19" s="2516"/>
      <c r="I19" s="2516"/>
      <c r="J19" s="2685"/>
      <c r="K19" s="2685"/>
    </row>
    <row r="20" spans="1:11" ht="15.6">
      <c r="A20" s="2514" t="s">
        <v>644</v>
      </c>
      <c r="B20" s="2516"/>
      <c r="C20" s="2516"/>
      <c r="D20" s="2516"/>
      <c r="E20" s="2515" t="e">
        <f t="shared" si="0"/>
        <v>#DIV/0!</v>
      </c>
      <c r="F20" s="2515" t="e">
        <f t="shared" si="1"/>
        <v>#DIV/0!</v>
      </c>
      <c r="G20" s="2516"/>
      <c r="H20" s="2516"/>
      <c r="I20" s="2516"/>
      <c r="J20" s="2685"/>
      <c r="K20" s="2685"/>
    </row>
    <row r="21" spans="1:11" ht="15.6">
      <c r="A21" s="2514" t="s">
        <v>643</v>
      </c>
      <c r="B21" s="2516"/>
      <c r="C21" s="2516"/>
      <c r="D21" s="2516"/>
      <c r="E21" s="2515" t="e">
        <f t="shared" si="0"/>
        <v>#DIV/0!</v>
      </c>
      <c r="F21" s="2515" t="e">
        <f t="shared" si="1"/>
        <v>#DIV/0!</v>
      </c>
      <c r="G21" s="2516"/>
      <c r="H21" s="2516"/>
      <c r="I21" s="2516"/>
      <c r="J21" s="2685"/>
      <c r="K21" s="2685"/>
    </row>
    <row r="22" spans="1:11" ht="15.6">
      <c r="A22" s="2514" t="s">
        <v>642</v>
      </c>
      <c r="B22" s="2516"/>
      <c r="C22" s="2516"/>
      <c r="D22" s="2516"/>
      <c r="E22" s="2515" t="e">
        <f t="shared" si="0"/>
        <v>#DIV/0!</v>
      </c>
      <c r="F22" s="2515" t="e">
        <f t="shared" si="1"/>
        <v>#DIV/0!</v>
      </c>
      <c r="G22" s="2516"/>
      <c r="H22" s="2516"/>
      <c r="I22" s="2516"/>
      <c r="J22" s="2685"/>
      <c r="K22" s="2685"/>
    </row>
    <row r="23" spans="1:11" ht="15.6">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70" zoomScaleNormal="100" zoomScaleSheetLayoutView="70" zoomScalePageLayoutView="80" workbookViewId="0">
      <selection activeCell="G39" sqref="G39"/>
    </sheetView>
  </sheetViews>
  <sheetFormatPr defaultColWidth="12.6640625" defaultRowHeight="21.75" customHeight="1"/>
  <cols>
    <col min="1" max="2" width="12.6640625" style="1750"/>
    <col min="3" max="4" width="12.6640625" style="1750" customWidth="1"/>
    <col min="5" max="9" width="12.6640625" style="1750"/>
    <col min="10" max="11" width="12.6640625" style="723" customWidth="1"/>
    <col min="12" max="12" width="12.6640625" style="723"/>
    <col min="13" max="13" width="14.109375" style="723" bestFit="1" customWidth="1"/>
    <col min="14" max="26" width="12.6640625" style="723"/>
    <col min="27" max="35" width="12.6640625" style="1749"/>
    <col min="36" max="16384" width="12.6640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583" t="str">
        <f>项目基本情况!S2</f>
        <v>北京市房地产</v>
      </c>
      <c r="B2" s="3584"/>
      <c r="C2" s="3584"/>
      <c r="D2" s="3584"/>
      <c r="E2" s="3584"/>
      <c r="F2" s="3584"/>
      <c r="G2" s="3584"/>
      <c r="H2" s="3584"/>
      <c r="I2" s="3585"/>
    </row>
    <row r="3" spans="1:12" ht="13.2">
      <c r="A3" s="3587" t="s">
        <v>1264</v>
      </c>
      <c r="B3" s="3588"/>
      <c r="C3" s="3588"/>
      <c r="D3" s="3588"/>
      <c r="E3" s="3588"/>
      <c r="F3" s="3588"/>
      <c r="G3" s="3588"/>
      <c r="H3" s="3588"/>
      <c r="I3" s="3588"/>
    </row>
    <row r="4" spans="1:12" ht="14.4">
      <c r="A4" s="1751" t="s">
        <v>1265</v>
      </c>
      <c r="B4" s="1752" t="s">
        <v>1266</v>
      </c>
      <c r="C4" s="1753" t="s">
        <v>3404</v>
      </c>
      <c r="D4" s="1753" t="s">
        <v>3383</v>
      </c>
      <c r="E4" s="3589" t="s">
        <v>1267</v>
      </c>
      <c r="F4" s="3590"/>
      <c r="G4" s="3590"/>
      <c r="H4" s="3590"/>
      <c r="I4" s="3591"/>
      <c r="K4" s="144" t="str">
        <f>IF(ISNUMBER(FIND("比较法",结果表!C4)),"比较法",IF(ISNUMBER(FIND("成本法",结果表!C4)),"成本法",IF(ISNUMBER(FIND("假设开发法",结果表!C4)),"假设开发法",IF(ISNUMBER(FIND("收益法",结果表!C4)),"收益法","基准地价系数修正法"))))</f>
        <v>成本法</v>
      </c>
      <c r="L4" s="144" t="str">
        <f>IF(ISNUMBER(FIND("比较法",结果表!D4)),"比较法",IF(ISNUMBER(FIND("成本法",结果表!D4)),"成本法",IF(ISNUMBER(FIND("假设开发法",结果表!D4)),"假设开发法",IF(ISNUMBER(FIND("收益法",结果表!D4)),"收益法","基准地价系数修正法"))))</f>
        <v>收益法</v>
      </c>
    </row>
    <row r="5" spans="1:12" ht="13.2">
      <c r="A5" s="3563" t="s">
        <v>1268</v>
      </c>
      <c r="B5" s="3550">
        <v>25</v>
      </c>
      <c r="C5" s="3566"/>
      <c r="D5" s="3586"/>
      <c r="E5" s="129" t="s">
        <v>1269</v>
      </c>
      <c r="F5" s="1754"/>
      <c r="G5" s="1754"/>
      <c r="H5" s="1754"/>
      <c r="I5" s="1370"/>
    </row>
    <row r="6" spans="1:12" ht="13.2">
      <c r="A6" s="3563"/>
      <c r="B6" s="3550"/>
      <c r="C6" s="3567"/>
      <c r="D6" s="3586"/>
      <c r="E6" s="129" t="s">
        <v>1270</v>
      </c>
      <c r="F6" s="1754"/>
      <c r="G6" s="1754"/>
      <c r="H6" s="1754"/>
      <c r="I6" s="1370"/>
    </row>
    <row r="7" spans="1:12" ht="13.2">
      <c r="A7" s="3563"/>
      <c r="B7" s="3550"/>
      <c r="C7" s="3568"/>
      <c r="D7" s="3586"/>
      <c r="E7" s="129" t="s">
        <v>1271</v>
      </c>
      <c r="F7" s="1754"/>
      <c r="G7" s="1754"/>
      <c r="H7" s="1754"/>
      <c r="I7" s="1370"/>
    </row>
    <row r="8" spans="1:12" ht="13.2">
      <c r="A8" s="3563" t="s">
        <v>1272</v>
      </c>
      <c r="B8" s="3550">
        <v>15</v>
      </c>
      <c r="C8" s="3566"/>
      <c r="D8" s="3586"/>
      <c r="E8" s="129" t="s">
        <v>1273</v>
      </c>
      <c r="F8" s="1754"/>
      <c r="G8" s="1754"/>
      <c r="H8" s="1754"/>
      <c r="I8" s="1370"/>
    </row>
    <row r="9" spans="1:12" ht="13.2">
      <c r="A9" s="3563"/>
      <c r="B9" s="3550"/>
      <c r="C9" s="3568"/>
      <c r="D9" s="3586"/>
      <c r="E9" s="129" t="s">
        <v>1274</v>
      </c>
      <c r="F9" s="1754"/>
      <c r="G9" s="1754"/>
      <c r="H9" s="1754"/>
      <c r="I9" s="1370"/>
    </row>
    <row r="10" spans="1:12" ht="13.2">
      <c r="A10" s="3563" t="s">
        <v>1275</v>
      </c>
      <c r="B10" s="3550">
        <v>15</v>
      </c>
      <c r="C10" s="3566"/>
      <c r="D10" s="3586"/>
      <c r="E10" s="129" t="s">
        <v>1276</v>
      </c>
      <c r="F10" s="1754"/>
      <c r="G10" s="1754"/>
      <c r="H10" s="1754"/>
      <c r="I10" s="1370"/>
    </row>
    <row r="11" spans="1:12" ht="13.2">
      <c r="A11" s="3563"/>
      <c r="B11" s="3550"/>
      <c r="C11" s="3568"/>
      <c r="D11" s="3586"/>
      <c r="E11" s="129" t="s">
        <v>1277</v>
      </c>
      <c r="F11" s="1754"/>
      <c r="G11" s="1754"/>
      <c r="H11" s="1754"/>
      <c r="I11" s="1370"/>
    </row>
    <row r="12" spans="1:12" ht="13.2">
      <c r="A12" s="3563" t="s">
        <v>1278</v>
      </c>
      <c r="B12" s="3550">
        <v>15</v>
      </c>
      <c r="C12" s="3566"/>
      <c r="D12" s="3586"/>
      <c r="E12" s="129" t="s">
        <v>1279</v>
      </c>
      <c r="F12" s="1754"/>
      <c r="G12" s="1754"/>
      <c r="H12" s="1754"/>
      <c r="I12" s="1370"/>
    </row>
    <row r="13" spans="1:12" ht="13.2">
      <c r="A13" s="3563"/>
      <c r="B13" s="3550"/>
      <c r="C13" s="3568"/>
      <c r="D13" s="3586"/>
      <c r="E13" s="129" t="s">
        <v>1280</v>
      </c>
      <c r="F13" s="1754"/>
      <c r="G13" s="1754"/>
      <c r="H13" s="1754"/>
      <c r="I13" s="1370"/>
    </row>
    <row r="14" spans="1:12" ht="13.2">
      <c r="A14" s="3563" t="s">
        <v>1281</v>
      </c>
      <c r="B14" s="3550">
        <v>30</v>
      </c>
      <c r="C14" s="3566">
        <v>7</v>
      </c>
      <c r="D14" s="3586">
        <v>3</v>
      </c>
      <c r="E14" s="129" t="s">
        <v>1282</v>
      </c>
      <c r="F14" s="1754"/>
      <c r="G14" s="1754"/>
      <c r="H14" s="1754"/>
      <c r="I14" s="1370"/>
    </row>
    <row r="15" spans="1:12" ht="13.2">
      <c r="A15" s="3563"/>
      <c r="B15" s="3550"/>
      <c r="C15" s="3567"/>
      <c r="D15" s="3586"/>
      <c r="E15" s="129" t="s">
        <v>1283</v>
      </c>
      <c r="F15" s="1754"/>
      <c r="G15" s="1754"/>
      <c r="H15" s="1754"/>
      <c r="I15" s="1370"/>
    </row>
    <row r="16" spans="1:12" ht="13.2">
      <c r="A16" s="3563"/>
      <c r="B16" s="3550"/>
      <c r="C16" s="3568"/>
      <c r="D16" s="3586"/>
      <c r="E16" s="129" t="s">
        <v>1284</v>
      </c>
      <c r="F16" s="1754"/>
      <c r="G16" s="1754"/>
      <c r="H16" s="1754"/>
      <c r="I16" s="1370"/>
    </row>
    <row r="17" spans="1:36" ht="14.4">
      <c r="A17" s="1755" t="s">
        <v>1285</v>
      </c>
      <c r="B17" s="56"/>
      <c r="C17" s="130">
        <f>SUM(C5:C16)</f>
        <v>7</v>
      </c>
      <c r="D17" s="130">
        <f>SUM(D5:D16)</f>
        <v>3</v>
      </c>
      <c r="E17" s="127"/>
      <c r="F17" s="127"/>
      <c r="G17" s="127"/>
      <c r="H17" s="127"/>
      <c r="I17" s="127"/>
      <c r="K17" s="300"/>
      <c r="L17" s="300" t="s">
        <v>1286</v>
      </c>
      <c r="M17" s="300" t="s">
        <v>1287</v>
      </c>
    </row>
    <row r="18" spans="1:36" ht="31.95" customHeight="1" thickBot="1">
      <c r="A18" s="1756" t="s">
        <v>1288</v>
      </c>
      <c r="B18" s="1757"/>
      <c r="C18" s="131">
        <f>ROUND(C17/SUM(C17:D17),2)</f>
        <v>0.7</v>
      </c>
      <c r="D18" s="131">
        <f>1-C18</f>
        <v>0.30000000000000004</v>
      </c>
      <c r="E18" s="3573" t="s">
        <v>2131</v>
      </c>
      <c r="F18" s="3574"/>
      <c r="G18" s="3574"/>
      <c r="H18" s="3574"/>
      <c r="I18" s="3574"/>
      <c r="K18" s="300" t="s">
        <v>1289</v>
      </c>
      <c r="L18" s="300">
        <f>IF(C1="",'数据-汇总表'!E3,SUMIF(项目类型,C1,'数据-汇总表'!E17:E26)+SUMIF(项目类型,C1,'数据-汇总表'!I17:I26))</f>
        <v>204.38</v>
      </c>
      <c r="M18" s="300">
        <f>IF(C1="",'数据-汇总表'!E3,SUMIF(项目类型,C1,'数据-汇总表'!E17:E26))</f>
        <v>204.38</v>
      </c>
    </row>
    <row r="19" spans="1:36" ht="14.4">
      <c r="A19" s="1758" t="s">
        <v>1290</v>
      </c>
      <c r="B19" s="1759" t="s">
        <v>1291</v>
      </c>
      <c r="C19" s="132">
        <f ca="1">SUMIF(INDIRECT("'"&amp;C4&amp;"'"&amp;"!A:A"),结果表!B19,INDIRECT("'"&amp;C4&amp;"'"&amp;"!B:B"))</f>
        <v>4629</v>
      </c>
      <c r="D19" s="133">
        <f ca="1">SUMIF(INDIRECT("'"&amp;D4&amp;"'"&amp;"!A:A"),结果表!B19,INDIRECT("'"&amp;D4&amp;"'"&amp;"!B:B"))</f>
        <v>2758</v>
      </c>
      <c r="E19" s="1758" t="s">
        <v>1292</v>
      </c>
      <c r="F19" s="1759" t="s">
        <v>1291</v>
      </c>
      <c r="G19" s="134">
        <f ca="1">ROUND(C19*$C$18+D19*$D$18,0)</f>
        <v>4068</v>
      </c>
      <c r="H19" s="1760" t="s">
        <v>1293</v>
      </c>
      <c r="I19" s="127"/>
      <c r="K19" s="300" t="s">
        <v>1294</v>
      </c>
      <c r="L19" s="300">
        <f>IF(C1="",'数据-汇总表'!D3,SUMIF(项目类型,C1,'数据-汇总表'!D17:D26)+SUMIF(项目类型,C1,'数据-汇总表'!H17:H27))</f>
        <v>2229.4899999999998</v>
      </c>
      <c r="M19" s="300">
        <f>IF(C1="",'数据-汇总表'!D3,SUMIF(项目类型,C1,'数据-汇总表'!D17:D26))</f>
        <v>2229.4899999999998</v>
      </c>
    </row>
    <row r="20" spans="1:36" ht="14.4">
      <c r="A20" s="1761"/>
      <c r="B20" s="1023" t="s">
        <v>1295</v>
      </c>
      <c r="C20" s="135">
        <f ca="1">SUMIF(INDIRECT("'"&amp;C4&amp;"'"&amp;"!A:A"),结果表!B20,INDIRECT("'"&amp;C4&amp;"'"&amp;"!B:B"))</f>
        <v>226490</v>
      </c>
      <c r="D20" s="136">
        <f ca="1">SUMIF(INDIRECT("'"&amp;D4&amp;"'"&amp;"!A:A"),结果表!B20,INDIRECT("'"&amp;D4&amp;"'"&amp;"!B:B"))</f>
        <v>134945</v>
      </c>
      <c r="E20" s="1761"/>
      <c r="F20" s="1023" t="s">
        <v>1295</v>
      </c>
      <c r="G20" s="137">
        <f ca="1">ROUND(C20*$C$18+D20*$D$18,0)</f>
        <v>199027</v>
      </c>
      <c r="H20" s="806" t="s">
        <v>1296</v>
      </c>
      <c r="I20" s="127"/>
    </row>
    <row r="21" spans="1:36" ht="15" customHeight="1" thickBot="1">
      <c r="A21" s="826"/>
      <c r="B21" s="1762" t="s">
        <v>1297</v>
      </c>
      <c r="C21" s="717">
        <f ca="1">ROUND(C19*10000/L19,0)</f>
        <v>20763</v>
      </c>
      <c r="D21" s="718">
        <f ca="1">ROUND(D19*10000/L19,0)</f>
        <v>12371</v>
      </c>
      <c r="E21" s="826"/>
      <c r="F21" s="1762" t="s">
        <v>1297</v>
      </c>
      <c r="G21" s="138">
        <f ca="1">ROUND(G19*10000/L19,0)</f>
        <v>18246</v>
      </c>
      <c r="H21" s="1763" t="s">
        <v>1296</v>
      </c>
      <c r="I21" s="127"/>
    </row>
    <row r="22" spans="1:36" ht="15" thickBot="1">
      <c r="A22" s="1685" t="s">
        <v>1298</v>
      </c>
      <c r="B22" s="1764"/>
      <c r="C22" s="1765"/>
      <c r="D22" s="719">
        <f ca="1">IF(C19&lt;D19,D19/C19-1,C19/D19-1)</f>
        <v>0.67839013778100066</v>
      </c>
      <c r="E22" s="127"/>
      <c r="F22" s="127"/>
      <c r="G22" s="127"/>
      <c r="H22" s="127"/>
      <c r="I22" s="127"/>
    </row>
    <row r="23" spans="1:36" ht="13.8" thickBot="1">
      <c r="A23" s="1744"/>
      <c r="B23" s="1744"/>
      <c r="C23" s="1744"/>
      <c r="D23" s="1744"/>
      <c r="E23" s="127"/>
      <c r="F23" s="127"/>
      <c r="G23" s="127"/>
      <c r="H23" s="127"/>
      <c r="I23" s="127"/>
    </row>
    <row r="24" spans="1:36" ht="14.4">
      <c r="A24" s="3557" t="s">
        <v>1299</v>
      </c>
      <c r="B24" s="1759" t="s">
        <v>1291</v>
      </c>
      <c r="C24" s="134">
        <f>IF(B30=0,0,D30)</f>
        <v>0</v>
      </c>
      <c r="D24" s="1766"/>
      <c r="E24" s="127"/>
      <c r="F24" s="127"/>
      <c r="G24" s="127"/>
      <c r="H24" s="127"/>
      <c r="I24" s="127"/>
    </row>
    <row r="25" spans="1:36" ht="14.4">
      <c r="A25" s="3558"/>
      <c r="B25" s="1023" t="s">
        <v>1295</v>
      </c>
      <c r="C25" s="139">
        <f>IF(B30=0,0,C30)</f>
        <v>0</v>
      </c>
      <c r="D25" s="1767"/>
      <c r="E25" s="127"/>
      <c r="F25" s="127"/>
      <c r="G25" s="127"/>
      <c r="H25" s="127"/>
      <c r="I25" s="127"/>
    </row>
    <row r="26" spans="1:36" ht="13.5" customHeight="1">
      <c r="A26" s="1768" t="s">
        <v>1300</v>
      </c>
      <c r="B26" s="140" t="s">
        <v>1301</v>
      </c>
      <c r="C26" s="140" t="s">
        <v>1302</v>
      </c>
      <c r="D26" s="141" t="s">
        <v>1303</v>
      </c>
      <c r="E26" s="127"/>
      <c r="F26" s="127"/>
      <c r="G26" s="127"/>
      <c r="H26" s="127"/>
      <c r="I26" s="127"/>
    </row>
    <row r="27" spans="1:36" ht="13.8">
      <c r="A27" s="1768"/>
      <c r="B27" s="140">
        <v>0</v>
      </c>
      <c r="C27" s="140">
        <v>0</v>
      </c>
      <c r="D27" s="141">
        <f>ROUND(C27*B27/10000,0)</f>
        <v>0</v>
      </c>
      <c r="E27" s="127"/>
      <c r="F27" s="127"/>
      <c r="G27" s="127"/>
      <c r="H27" s="127"/>
      <c r="I27" s="127"/>
    </row>
    <row r="28" spans="1:36" ht="13.8">
      <c r="A28" s="1768"/>
      <c r="B28" s="140"/>
      <c r="C28" s="140"/>
      <c r="D28" s="141"/>
      <c r="E28" s="127"/>
      <c r="F28" s="127"/>
      <c r="G28" s="127"/>
      <c r="H28" s="127"/>
      <c r="I28" s="127"/>
    </row>
    <row r="29" spans="1:36" ht="13.8">
      <c r="A29" s="1768"/>
      <c r="B29" s="140"/>
      <c r="C29" s="140"/>
      <c r="D29" s="141"/>
      <c r="E29" s="127"/>
      <c r="F29" s="127"/>
      <c r="G29" s="127"/>
      <c r="H29" s="127"/>
      <c r="I29" s="127"/>
    </row>
    <row r="30" spans="1:36" ht="15" thickBot="1">
      <c r="A30" s="140" t="s">
        <v>1304</v>
      </c>
      <c r="B30" s="140"/>
      <c r="C30" s="140"/>
      <c r="D30" s="140"/>
      <c r="E30" s="2300" t="s">
        <v>2132</v>
      </c>
      <c r="F30" s="127"/>
      <c r="G30" s="127"/>
      <c r="H30" s="127"/>
      <c r="I30" s="127"/>
    </row>
    <row r="31" spans="1:36" s="2306" customFormat="1" ht="26.4" customHeight="1" thickTop="1" thickBot="1">
      <c r="A31" s="2301"/>
      <c r="B31" s="2302"/>
      <c r="C31" s="2302"/>
      <c r="D31" s="2302"/>
      <c r="E31" s="2302"/>
      <c r="F31" s="2302"/>
      <c r="G31" s="2302"/>
      <c r="H31" s="2302"/>
      <c r="I31" s="2303" t="s">
        <v>2133</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5.6" thickTop="1" thickBot="1">
      <c r="A32" s="1770" t="s">
        <v>1305</v>
      </c>
      <c r="B32" s="1771"/>
      <c r="C32" s="142">
        <f ca="1">IF(D32="总价",G19-C24,G20-C25)</f>
        <v>4068</v>
      </c>
      <c r="D32" s="1772" t="s">
        <v>3408</v>
      </c>
      <c r="E32" s="127"/>
      <c r="F32" s="127"/>
      <c r="G32" s="127"/>
      <c r="H32" s="127"/>
      <c r="I32" s="127"/>
    </row>
    <row r="33" spans="1:15" ht="14.4">
      <c r="A33" s="784" t="s">
        <v>1306</v>
      </c>
      <c r="B33" s="1773"/>
      <c r="C33" s="1774" t="s">
        <v>3409</v>
      </c>
      <c r="D33" s="1775" t="s">
        <v>3404</v>
      </c>
      <c r="E33" s="1776" t="s">
        <v>1307</v>
      </c>
      <c r="F33" s="1777" t="str">
        <f>IF(D32="楼面单价","取值（单价）","取值（总价）")</f>
        <v>取值（总价）</v>
      </c>
      <c r="G33" s="127"/>
      <c r="H33" s="127"/>
      <c r="I33" s="127"/>
    </row>
    <row r="34" spans="1:15" ht="14.4">
      <c r="A34" s="1778"/>
      <c r="B34" s="1779" t="s">
        <v>1308</v>
      </c>
      <c r="C34" s="146">
        <f ca="1">IF(C33="自定义",F34,C32-C35)</f>
        <v>3909</v>
      </c>
      <c r="D34" s="859">
        <f ca="1">IF(C33="自定义",ROUND(C34/C32,3),IF(C33="收益比率",SUMIF(INDIRECT("'"&amp;D33&amp;"'"&amp;"!b:b"),"土地收益比率",INDIRECT("'"&amp;D33&amp;"'"&amp;"!c:c")),SUMIF(INDIRECT("'"&amp;D33&amp;"'"&amp;"!b:b"),"土地成本比率",INDIRECT("'"&amp;D33&amp;"'"&amp;"!c:c"))))</f>
        <v>0.96099999999999997</v>
      </c>
      <c r="E34" s="1780" t="s">
        <v>1309</v>
      </c>
      <c r="F34" s="1327"/>
      <c r="G34" s="127"/>
      <c r="H34" s="127"/>
      <c r="I34" s="127"/>
    </row>
    <row r="35" spans="1:15" ht="15" thickBot="1">
      <c r="A35" s="1781"/>
      <c r="B35" s="1782" t="s">
        <v>1310</v>
      </c>
      <c r="C35" s="1167">
        <f ca="1">IF(C33="自定义",F35,ROUND(C32*D35,0))</f>
        <v>159</v>
      </c>
      <c r="D35" s="1168">
        <f ca="1">IF(C33="自定义",ROUND(C35/C32,3),IF(C33="收益比率",SUMIF(INDIRECT("'"&amp;D33&amp;"'"&amp;"!b:b"),"建筑物收益比率",INDIRECT("'"&amp;D33&amp;"'"&amp;"!c:c")),SUMIF(INDIRECT("'"&amp;D33&amp;"'"&amp;"!b:b"),"建筑物成本比率",INDIRECT("'"&amp;D33&amp;"'"&amp;"!c:c"))))</f>
        <v>3.9E-2</v>
      </c>
      <c r="E35" s="1783" t="s">
        <v>1311</v>
      </c>
      <c r="F35" s="152"/>
      <c r="G35" s="127"/>
      <c r="H35" s="127"/>
      <c r="I35" s="127"/>
    </row>
    <row r="36" spans="1:15" ht="15" thickBot="1">
      <c r="A36" s="3577" t="s">
        <v>1312</v>
      </c>
      <c r="B36" s="1784" t="s">
        <v>1313</v>
      </c>
      <c r="C36" s="143"/>
      <c r="D36" s="1785"/>
      <c r="E36" s="1786"/>
      <c r="F36" s="1787"/>
      <c r="G36" s="127"/>
      <c r="H36" s="127"/>
      <c r="I36" s="127"/>
    </row>
    <row r="37" spans="1:15" ht="15" thickBot="1">
      <c r="A37" s="3578"/>
      <c r="B37" s="1671" t="s">
        <v>1314</v>
      </c>
      <c r="C37" s="145"/>
      <c r="D37" s="1136"/>
      <c r="E37" s="1136"/>
      <c r="F37" s="1787"/>
      <c r="G37" s="127"/>
      <c r="H37" s="127"/>
      <c r="I37" s="127"/>
    </row>
    <row r="38" spans="1:15" ht="15" thickBot="1">
      <c r="A38" s="3579"/>
      <c r="B38" s="1788" t="s">
        <v>1315</v>
      </c>
      <c r="C38" s="672"/>
      <c r="D38" s="1789" t="s">
        <v>1316</v>
      </c>
      <c r="E38" s="1136"/>
      <c r="F38" s="1787"/>
      <c r="G38" s="127"/>
      <c r="H38" s="127"/>
      <c r="I38" s="127"/>
    </row>
    <row r="39" spans="1:15" ht="14.4">
      <c r="A39" s="1761" t="s">
        <v>1317</v>
      </c>
      <c r="B39" s="1790" t="s">
        <v>1318</v>
      </c>
      <c r="C39" s="1791" t="s">
        <v>1319</v>
      </c>
      <c r="D39" s="1791" t="s">
        <v>1320</v>
      </c>
      <c r="E39" s="1792" t="s">
        <v>1321</v>
      </c>
      <c r="F39" s="1787"/>
      <c r="G39" s="127"/>
      <c r="H39" s="127"/>
      <c r="I39" s="127"/>
    </row>
    <row r="40" spans="1:15" ht="13.8">
      <c r="A40" s="1793" t="s">
        <v>1322</v>
      </c>
      <c r="B40" s="147"/>
      <c r="C40" s="148"/>
      <c r="D40" s="148"/>
      <c r="E40" s="149"/>
      <c r="F40" s="1787"/>
      <c r="G40" s="127"/>
      <c r="H40" s="127"/>
      <c r="I40" s="127"/>
    </row>
    <row r="41" spans="1:15" ht="13.8">
      <c r="A41" s="1793" t="s">
        <v>1323</v>
      </c>
      <c r="B41" s="147"/>
      <c r="C41" s="148"/>
      <c r="D41" s="148"/>
      <c r="E41" s="149"/>
      <c r="F41" s="1787"/>
      <c r="G41" s="127"/>
      <c r="H41" s="127"/>
      <c r="I41" s="127"/>
    </row>
    <row r="42" spans="1:15" ht="14.4" thickBot="1">
      <c r="A42" s="1794"/>
      <c r="B42" s="150"/>
      <c r="C42" s="151"/>
      <c r="D42" s="151"/>
      <c r="E42" s="152"/>
      <c r="F42" s="1787"/>
      <c r="G42" s="127"/>
      <c r="H42" s="127"/>
      <c r="I42" s="127"/>
    </row>
    <row r="43" spans="1:15" ht="13.2">
      <c r="A43" s="1574"/>
      <c r="B43" s="1574"/>
      <c r="C43" s="1574"/>
      <c r="D43" s="1574"/>
      <c r="E43" s="1574"/>
      <c r="F43" s="1795"/>
      <c r="G43" s="1795"/>
      <c r="H43" s="1795"/>
      <c r="I43" s="1796"/>
    </row>
    <row r="44" spans="1:15" ht="17.399999999999999">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554" t="s">
        <v>1326</v>
      </c>
      <c r="B45" s="3555"/>
      <c r="C45" s="3556"/>
      <c r="D45" s="153">
        <f ca="1">ROUND(H101*F45,0)</f>
        <v>4068</v>
      </c>
      <c r="E45" s="154" t="s">
        <v>1327</v>
      </c>
      <c r="F45" s="155">
        <v>1</v>
      </c>
      <c r="G45" s="156" t="s">
        <v>1328</v>
      </c>
      <c r="H45" s="127"/>
      <c r="I45" s="127"/>
      <c r="J45" s="3632" t="s">
        <v>1329</v>
      </c>
      <c r="K45" s="3632"/>
      <c r="L45" s="3632"/>
      <c r="M45" s="3632"/>
      <c r="N45" s="3632"/>
      <c r="O45" s="3632"/>
    </row>
    <row r="46" spans="1:15" ht="14.25" customHeight="1">
      <c r="A46" s="3551" t="s">
        <v>1330</v>
      </c>
      <c r="B46" s="3552"/>
      <c r="C46" s="3552"/>
      <c r="D46" s="3552"/>
      <c r="E46" s="3552"/>
      <c r="F46" s="3552"/>
      <c r="G46" s="3553"/>
      <c r="H46" s="1803"/>
      <c r="I46" s="157"/>
      <c r="J46" s="2520">
        <v>1</v>
      </c>
      <c r="K46" s="3613" t="s">
        <v>1331</v>
      </c>
      <c r="L46" s="3613"/>
      <c r="M46" s="3633"/>
      <c r="N46" s="3633"/>
      <c r="O46" s="3633"/>
    </row>
    <row r="47" spans="1:15" ht="12" customHeight="1">
      <c r="A47" s="158" t="s">
        <v>1332</v>
      </c>
      <c r="B47" s="159"/>
      <c r="C47" s="160"/>
      <c r="D47" s="1084" t="s">
        <v>1333</v>
      </c>
      <c r="E47" s="300" t="s">
        <v>1334</v>
      </c>
      <c r="F47" s="161" t="s">
        <v>1335</v>
      </c>
      <c r="G47" s="2543" t="s">
        <v>1336</v>
      </c>
      <c r="H47" s="2544"/>
      <c r="I47" s="157"/>
      <c r="J47" s="2520">
        <v>2</v>
      </c>
      <c r="K47" s="3613" t="s">
        <v>1337</v>
      </c>
      <c r="L47" s="3613"/>
      <c r="M47" s="3634">
        <f>'数据-取费表'!B2</f>
        <v>44917</v>
      </c>
      <c r="N47" s="3634"/>
      <c r="O47" s="3634"/>
    </row>
    <row r="48" spans="1:15" ht="26.4">
      <c r="A48" s="3582" t="s">
        <v>1338</v>
      </c>
      <c r="B48" s="3565"/>
      <c r="C48" s="3565"/>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1339</v>
      </c>
      <c r="H48" s="2547"/>
      <c r="I48" s="1803"/>
      <c r="J48" s="2520">
        <v>3</v>
      </c>
      <c r="K48" s="3613" t="s">
        <v>1340</v>
      </c>
      <c r="L48" s="3613"/>
      <c r="M48" s="3635">
        <f ca="1">H101</f>
        <v>4068</v>
      </c>
      <c r="N48" s="3635"/>
      <c r="O48" s="3635"/>
    </row>
    <row r="49" spans="1:35" ht="25.5" customHeight="1">
      <c r="A49" s="2330" t="s">
        <v>1341</v>
      </c>
      <c r="B49" s="3549" t="s">
        <v>1342</v>
      </c>
      <c r="C49" s="3549"/>
      <c r="D49" s="1587">
        <v>0</v>
      </c>
      <c r="E49" s="322" t="s">
        <v>1343</v>
      </c>
      <c r="F49" s="2421" t="s">
        <v>28</v>
      </c>
      <c r="G49" s="3619"/>
      <c r="H49" s="2307" t="s">
        <v>2134</v>
      </c>
      <c r="I49" s="2308"/>
      <c r="J49" s="2520">
        <v>4</v>
      </c>
      <c r="K49" s="3613" t="str">
        <f>IF(项目基本情况!E8="房地产抵押价值","房地产抵押价值","抵押担保权已注销时的房地产抵押价值")</f>
        <v>房地产抵押价值</v>
      </c>
      <c r="L49" s="3613"/>
      <c r="M49" s="3635">
        <f ca="1">IF(项目基本情况!E8="房地产抵押价值",H107,H109)</f>
        <v>4068</v>
      </c>
      <c r="N49" s="3635"/>
      <c r="O49" s="3635"/>
    </row>
    <row r="50" spans="1:35" ht="25.5" customHeight="1">
      <c r="A50" s="2548"/>
      <c r="B50" s="3549" t="s">
        <v>1344</v>
      </c>
      <c r="C50" s="3549"/>
      <c r="D50" s="2549"/>
      <c r="E50" s="330"/>
      <c r="F50" s="2421"/>
      <c r="G50" s="3620"/>
      <c r="H50" s="2309" t="s">
        <v>2135</v>
      </c>
      <c r="I50" s="2308"/>
      <c r="J50" s="3632" t="s">
        <v>1345</v>
      </c>
      <c r="K50" s="3632"/>
      <c r="L50" s="3632"/>
      <c r="M50" s="3632"/>
      <c r="N50" s="3632"/>
      <c r="O50" s="3632"/>
    </row>
    <row r="51" spans="1:35" ht="20.399999999999999" customHeight="1">
      <c r="A51" s="2550"/>
      <c r="B51" s="3549" t="s">
        <v>1346</v>
      </c>
      <c r="C51" s="3549"/>
      <c r="D51" s="1084"/>
      <c r="E51" s="325"/>
      <c r="F51" s="2421"/>
      <c r="G51" s="3621"/>
      <c r="H51" s="2309" t="s">
        <v>2136</v>
      </c>
      <c r="I51" s="2308"/>
      <c r="J51" s="2521" t="s">
        <v>1347</v>
      </c>
      <c r="K51" s="3613" t="s">
        <v>1348</v>
      </c>
      <c r="L51" s="3613"/>
      <c r="M51" s="2521" t="s">
        <v>1349</v>
      </c>
      <c r="N51" s="2521" t="s">
        <v>1350</v>
      </c>
      <c r="O51" s="2521" t="s">
        <v>1351</v>
      </c>
    </row>
    <row r="52" spans="1:35" ht="24" customHeight="1">
      <c r="A52" s="2332" t="s">
        <v>1352</v>
      </c>
      <c r="B52" s="3549" t="s">
        <v>1353</v>
      </c>
      <c r="C52" s="3549"/>
      <c r="D52" s="1084">
        <f ca="1">ROUND(D45*'数据-取费表'!B41/(1+'数据-取费表'!C42),0)</f>
        <v>217</v>
      </c>
      <c r="E52" s="2331" t="s">
        <v>1354</v>
      </c>
      <c r="F52" s="2551">
        <f>'数据-取费表'!B41</f>
        <v>5.6000000000000001E-2</v>
      </c>
      <c r="G52" s="2552"/>
      <c r="H52" s="2541"/>
      <c r="I52" s="1804"/>
      <c r="J52" s="2520">
        <v>1</v>
      </c>
      <c r="K52" s="3614" t="s">
        <v>1355</v>
      </c>
      <c r="L52" s="3614"/>
      <c r="M52" s="2522" t="b">
        <f>D48</f>
        <v>0</v>
      </c>
      <c r="N52" s="2520" t="str">
        <f>E48</f>
        <v>销售额×税（费）率</v>
      </c>
      <c r="O52" s="2523">
        <f>F48</f>
        <v>5.6000000000000001E-2</v>
      </c>
    </row>
    <row r="53" spans="1:35" ht="12" customHeight="1">
      <c r="A53" s="2332" t="s">
        <v>1356</v>
      </c>
      <c r="B53" s="3575" t="s">
        <v>2291</v>
      </c>
      <c r="C53" s="3576"/>
      <c r="D53" s="1084">
        <f ca="1">ROUND(D45*'数据-取费表'!B41/(1+'数据-取费表'!C42),0)</f>
        <v>217</v>
      </c>
      <c r="E53" s="2331" t="s">
        <v>1354</v>
      </c>
      <c r="F53" s="2551">
        <f>'数据-取费表'!B41</f>
        <v>5.6000000000000001E-2</v>
      </c>
      <c r="G53" s="2552"/>
      <c r="H53" s="2541"/>
      <c r="I53" s="1804"/>
      <c r="J53" s="2520">
        <v>2</v>
      </c>
      <c r="K53" s="3614" t="s">
        <v>1357</v>
      </c>
      <c r="L53" s="3614"/>
      <c r="M53" s="2522">
        <f t="shared" ref="M53:O54" ca="1" si="0">D55</f>
        <v>2</v>
      </c>
      <c r="N53" s="2520" t="str">
        <f t="shared" si="0"/>
        <v>销售额×税（费）率</v>
      </c>
      <c r="O53" s="2523" t="str">
        <f t="shared" si="0"/>
        <v>免征</v>
      </c>
    </row>
    <row r="54" spans="1:35" ht="12" customHeight="1">
      <c r="A54" s="2332" t="s">
        <v>1358</v>
      </c>
      <c r="B54" s="3575" t="s">
        <v>2292</v>
      </c>
      <c r="C54" s="3576"/>
      <c r="D54" s="1084">
        <f ca="1">C68</f>
        <v>217</v>
      </c>
      <c r="E54" s="325" t="s">
        <v>1359</v>
      </c>
      <c r="F54" s="2551">
        <f>'数据-取费表'!B41</f>
        <v>5.6000000000000001E-2</v>
      </c>
      <c r="G54" s="2552"/>
      <c r="H54" s="2553"/>
      <c r="I54" s="1804"/>
      <c r="J54" s="2520">
        <v>3</v>
      </c>
      <c r="K54" s="3614" t="s">
        <v>1360</v>
      </c>
      <c r="L54" s="3614"/>
      <c r="M54" s="2522">
        <f t="shared" ca="1" si="0"/>
        <v>2303</v>
      </c>
      <c r="N54" s="2520" t="str">
        <f t="shared" si="0"/>
        <v>增值额×税（费）率</v>
      </c>
      <c r="O54" s="2524" t="str">
        <f t="shared" si="0"/>
        <v>免征</v>
      </c>
    </row>
    <row r="55" spans="1:35" ht="24" customHeight="1">
      <c r="A55" s="3564" t="s">
        <v>1361</v>
      </c>
      <c r="B55" s="3565"/>
      <c r="C55" s="3565"/>
      <c r="D55" s="2321">
        <f ca="1">IF(H55="个人住宅",0,ROUND(D45*I55,0))</f>
        <v>2</v>
      </c>
      <c r="E55" s="2331" t="s">
        <v>1362</v>
      </c>
      <c r="F55" s="2551" t="str">
        <f>IF(H55="正常",I55,"免征")</f>
        <v>免征</v>
      </c>
      <c r="G55" s="2552"/>
      <c r="H55" s="2547"/>
      <c r="I55" s="163">
        <f>'数据-取费表'!B49</f>
        <v>5.0000000000000001E-4</v>
      </c>
      <c r="J55" s="2520">
        <f>IF(H59="非个人房产","",4)</f>
        <v>4</v>
      </c>
      <c r="K55" s="3614" t="str">
        <f>IF(H59="非个人房产","——","个人所得税")</f>
        <v>个人所得税</v>
      </c>
      <c r="L55" s="3614"/>
      <c r="M55" s="2525">
        <f ca="1">D59</f>
        <v>39</v>
      </c>
      <c r="N55" s="2037" t="str">
        <f>E59</f>
        <v>差额计税</v>
      </c>
      <c r="O55" s="2526">
        <f>F59</f>
        <v>0.01</v>
      </c>
    </row>
    <row r="56" spans="1:35" ht="25.2">
      <c r="A56" s="3564" t="s">
        <v>1363</v>
      </c>
      <c r="B56" s="3565"/>
      <c r="C56" s="3565"/>
      <c r="D56" s="2321">
        <f ca="1">IF(H56="个人住宅",D57,D58)</f>
        <v>2303</v>
      </c>
      <c r="E56" s="2331" t="s">
        <v>1364</v>
      </c>
      <c r="F56" s="2551" t="str">
        <f>IF(H56="正常",F58,"免征")</f>
        <v>免征</v>
      </c>
      <c r="G56" s="2554" t="s">
        <v>1365</v>
      </c>
      <c r="H56" s="2555"/>
      <c r="I56" s="1805"/>
      <c r="J56" s="2520" t="str">
        <f>IF(项目基本情况!K6="上海银行",IF(J55="",4,J55+1),"")</f>
        <v/>
      </c>
      <c r="K56" s="3637" t="str">
        <f>IF(项目基本情况!K6="上海银行","其他处置费用","")</f>
        <v/>
      </c>
      <c r="L56" s="3638"/>
      <c r="M56" s="2522" t="str">
        <f>IF(项目基本情况!K6="上海银行",M69,"")</f>
        <v/>
      </c>
      <c r="N56" s="3637" t="str">
        <f>IF(项目基本情况!K6="上海银行","包含处置中涉及的律师、诉讼、拍卖、评估等费用","")</f>
        <v/>
      </c>
      <c r="O56" s="3640"/>
    </row>
    <row r="57" spans="1:35" ht="13.2">
      <c r="A57" s="2332" t="s">
        <v>1341</v>
      </c>
      <c r="B57" s="3575" t="s">
        <v>1366</v>
      </c>
      <c r="C57" s="3576"/>
      <c r="D57" s="1587">
        <v>0</v>
      </c>
      <c r="E57" s="322" t="s">
        <v>1343</v>
      </c>
      <c r="F57" s="300"/>
      <c r="G57" s="2552"/>
      <c r="H57" s="2556"/>
      <c r="I57" s="1805"/>
      <c r="J57" s="3614">
        <f>IF(AND(J55="",J56=""),4,IF(项目基本情况!K6="上海银行",结果表!J56+1,结果表!J55+1))</f>
        <v>5</v>
      </c>
      <c r="K57" s="3614" t="s">
        <v>1367</v>
      </c>
      <c r="L57" s="2527" t="s">
        <v>1368</v>
      </c>
      <c r="M57" s="2528"/>
      <c r="N57" s="2529">
        <f ca="1">SUMIF(M52:M56,"&lt;9e307")</f>
        <v>2344</v>
      </c>
      <c r="O57" s="2530"/>
      <c r="P57" s="2687">
        <f ca="1">N57/M49</f>
        <v>0.57620452310717796</v>
      </c>
    </row>
    <row r="58" spans="1:35" ht="25.2">
      <c r="A58" s="2332" t="s">
        <v>1352</v>
      </c>
      <c r="B58" s="3575" t="s">
        <v>1369</v>
      </c>
      <c r="C58" s="3549"/>
      <c r="D58" s="2321">
        <f ca="1">IF(H58="转让取得",C81,C97)</f>
        <v>2303</v>
      </c>
      <c r="E58" s="2331" t="s">
        <v>1364</v>
      </c>
      <c r="F58" s="300" t="s">
        <v>28</v>
      </c>
      <c r="G58" s="2552"/>
      <c r="H58" s="2555"/>
      <c r="I58" s="1805"/>
      <c r="J58" s="3614"/>
      <c r="K58" s="3614"/>
      <c r="L58" s="2527" t="s">
        <v>1370</v>
      </c>
      <c r="M58" s="2531"/>
      <c r="N58" s="2532" t="str">
        <f ca="1">NUMBERSTRING(INT(N57*10000),2)&amp;"元整"</f>
        <v>贰仟叁佰肆拾肆万元整</v>
      </c>
      <c r="O58" s="2533"/>
    </row>
    <row r="59" spans="1:35" ht="24.6" thickBot="1">
      <c r="A59" s="3617" t="s">
        <v>1371</v>
      </c>
      <c r="B59" s="3618"/>
      <c r="C59" s="3618"/>
      <c r="D59" s="2557">
        <f ca="1">IF(H59="非个人房产","——",IF(H59="个人住宅（满五唯一有凭证）",0,IF(H59="个人其他（无凭证）",ROUND(D45*F59,0),ROUND(C67*F59,0))))</f>
        <v>39</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2137</v>
      </c>
      <c r="J59" s="3615">
        <f>J57+1</f>
        <v>6</v>
      </c>
      <c r="K59" s="3614" t="s">
        <v>1372</v>
      </c>
      <c r="L59" s="2520" t="s">
        <v>1368</v>
      </c>
      <c r="M59" s="2534"/>
      <c r="N59" s="2535">
        <f ca="1">M49-N57</f>
        <v>1724</v>
      </c>
      <c r="O59" s="2536"/>
    </row>
    <row r="60" spans="1:35" ht="12" customHeight="1">
      <c r="A60" s="1806"/>
      <c r="B60" s="1744"/>
      <c r="C60" s="1744"/>
      <c r="D60" s="1744"/>
      <c r="E60" s="1575"/>
      <c r="F60" s="1805"/>
      <c r="G60" s="1805"/>
      <c r="H60" s="1807"/>
      <c r="I60" s="127"/>
      <c r="J60" s="3616"/>
      <c r="K60" s="3614"/>
      <c r="L60" s="2527" t="s">
        <v>1370</v>
      </c>
      <c r="M60" s="2531"/>
      <c r="N60" s="2532" t="str">
        <f ca="1">NUMBERSTRING(INT(N59*10000),2)&amp;"元整"</f>
        <v>壹仟柒佰贰拾肆万元整</v>
      </c>
      <c r="O60" s="2533"/>
    </row>
    <row r="61" spans="1:35" ht="13.8" thickBot="1">
      <c r="A61" s="3562" t="s">
        <v>1373</v>
      </c>
      <c r="B61" s="3562"/>
      <c r="C61" s="3562"/>
      <c r="D61" s="3562"/>
      <c r="E61" s="3562"/>
      <c r="F61" s="1805"/>
      <c r="G61" s="1805"/>
      <c r="H61" s="1807"/>
      <c r="I61" s="127"/>
      <c r="J61" s="2520">
        <f>J59+1</f>
        <v>7</v>
      </c>
      <c r="K61" s="3614" t="s">
        <v>1374</v>
      </c>
      <c r="L61" s="3614"/>
      <c r="M61" s="2537"/>
      <c r="N61" s="2538">
        <f ca="1">ROUND(N59*10000/'数据-汇总表'!E3,0)</f>
        <v>84353</v>
      </c>
      <c r="O61" s="2539"/>
    </row>
    <row r="62" spans="1:35" ht="13.2">
      <c r="A62" s="3580" t="s">
        <v>1375</v>
      </c>
      <c r="B62" s="3581"/>
      <c r="C62" s="2018"/>
      <c r="D62" s="2018" t="s">
        <v>1376</v>
      </c>
      <c r="E62" s="164" t="s">
        <v>1377</v>
      </c>
      <c r="F62" s="1805"/>
      <c r="G62" s="1805"/>
      <c r="H62" s="1807"/>
      <c r="I62" s="127"/>
    </row>
    <row r="63" spans="1:35" ht="13.2">
      <c r="A63" s="171" t="s">
        <v>330</v>
      </c>
      <c r="B63" s="165" t="s">
        <v>1378</v>
      </c>
      <c r="C63" s="2561">
        <f ca="1">ROUND((C64+C65)/(1+'数据-取费表'!C42),0)</f>
        <v>3874</v>
      </c>
      <c r="D63" s="165"/>
      <c r="E63" s="166"/>
      <c r="F63" s="1805"/>
      <c r="G63" s="1805"/>
      <c r="H63" s="1807"/>
      <c r="I63" s="127"/>
      <c r="J63" s="3639" t="s">
        <v>1379</v>
      </c>
      <c r="K63" s="1329" t="s">
        <v>1380</v>
      </c>
      <c r="L63" s="1329">
        <f ca="1">IF(M49&gt;10000,M49*0.5%,IF(AND(M49&gt;1000,M49&lt;=10000),M49*1%,IF(AND(M49&gt;100,M49&lt;=1000),M49*3%,IF(AND(M49&gt;10,M49&lt;=100),M49*5%,M49*8%))))</f>
        <v>40.68</v>
      </c>
      <c r="M63" s="300">
        <f ca="1">ROUND(L63,1)</f>
        <v>40.700000000000003</v>
      </c>
      <c r="N63" s="2540"/>
      <c r="Z63" s="1749"/>
      <c r="AI63" s="1750"/>
    </row>
    <row r="64" spans="1:35" ht="14.25" customHeight="1">
      <c r="A64" s="167" t="s">
        <v>325</v>
      </c>
      <c r="B64" s="168" t="s">
        <v>1381</v>
      </c>
      <c r="C64" s="2562">
        <f ca="1">D45</f>
        <v>4068</v>
      </c>
      <c r="D64" s="168" t="s">
        <v>26</v>
      </c>
      <c r="E64" s="170"/>
      <c r="F64" s="1805"/>
      <c r="G64" s="1805"/>
      <c r="H64" s="1807"/>
      <c r="I64" s="127"/>
      <c r="J64" s="3639"/>
      <c r="K64" s="1329" t="s">
        <v>1382</v>
      </c>
      <c r="L64" s="1329">
        <f ca="1">IF(M49&gt;2000,M49*0.5%,IF(AND(M49&gt;1000,M49&lt;=2000),M49*0.6%,IF(AND(M49&gt;500,M49&lt;=1000),M49*0.7%,IF(AND(M49&gt;200,M49&lt;=500),M49*0.8%,IF(AND(M49&gt;100,M49&lt;=200),M49*0.9%,IF(AND(M49&gt;50,M49&lt;=100),M49*1%,IF(AND(M49&gt;20,M49&lt;=50),M49*1.5%,IF(AND(M49&gt;10,M49&lt;=20),M49*2%,IF(AND(M49&gt;1,M49&lt;=10),M49*2.5%)))))))))</f>
        <v>20.34</v>
      </c>
      <c r="M64" s="300">
        <f t="shared" ref="M64:M65" ca="1" si="1">ROUND(L64,1)</f>
        <v>20.3</v>
      </c>
      <c r="N64" s="2541" t="s">
        <v>1383</v>
      </c>
      <c r="Z64" s="1749"/>
      <c r="AI64" s="1750"/>
    </row>
    <row r="65" spans="1:35" ht="14.25" customHeight="1">
      <c r="A65" s="167" t="s">
        <v>326</v>
      </c>
      <c r="B65" s="168" t="s">
        <v>1384</v>
      </c>
      <c r="C65" s="2563"/>
      <c r="D65" s="168"/>
      <c r="E65" s="170"/>
      <c r="F65" s="1805"/>
      <c r="G65" s="1805"/>
      <c r="H65" s="1807"/>
      <c r="I65" s="127"/>
      <c r="J65" s="3639"/>
      <c r="K65" s="1329" t="s">
        <v>1385</v>
      </c>
      <c r="L65" s="1329">
        <f ca="1">IF(M49&gt;1000,M49*0.1%,IF(AND(M49&gt;500,M49&lt;=1000),M49*0.5%,IF(AND(M49&gt;50,M49&lt;=500),M49*1%,IF(AND(M49&gt;1,M49&lt;=50),M49*1.5%))))</f>
        <v>4.0680000000000005</v>
      </c>
      <c r="M65" s="300">
        <f t="shared" ca="1" si="1"/>
        <v>4.0999999999999996</v>
      </c>
      <c r="N65" s="2541" t="s">
        <v>1383</v>
      </c>
      <c r="Z65" s="1749"/>
      <c r="AI65" s="1750"/>
    </row>
    <row r="66" spans="1:35" ht="14.25" customHeight="1">
      <c r="A66" s="171" t="s">
        <v>327</v>
      </c>
      <c r="B66" s="172" t="s">
        <v>1386</v>
      </c>
      <c r="C66" s="2564"/>
      <c r="D66" s="172" t="s">
        <v>26</v>
      </c>
      <c r="E66" s="1335" t="s">
        <v>671</v>
      </c>
      <c r="F66" s="1805"/>
      <c r="G66" s="1805"/>
      <c r="H66" s="1807"/>
      <c r="I66" s="127"/>
      <c r="J66" s="3639"/>
      <c r="K66" s="1329" t="s">
        <v>1387</v>
      </c>
      <c r="L66" s="1329">
        <f ca="1">M49*0.5%</f>
        <v>20.34</v>
      </c>
      <c r="M66" s="300">
        <f ca="1">IF(L66&gt;0.5,0.5,ROUND(L66,0))</f>
        <v>0.5</v>
      </c>
      <c r="N66" s="2541" t="s">
        <v>1388</v>
      </c>
      <c r="Z66" s="1749"/>
      <c r="AI66" s="1750"/>
    </row>
    <row r="67" spans="1:35" ht="14.25" customHeight="1">
      <c r="A67" s="171" t="s">
        <v>328</v>
      </c>
      <c r="B67" s="172" t="s">
        <v>1389</v>
      </c>
      <c r="C67" s="2565">
        <f ca="1">C63-C66</f>
        <v>3874</v>
      </c>
      <c r="D67" s="168" t="s">
        <v>26</v>
      </c>
      <c r="E67" s="170"/>
      <c r="F67" s="1805"/>
      <c r="G67" s="1805"/>
      <c r="H67" s="1807"/>
      <c r="I67" s="127"/>
      <c r="J67" s="3639"/>
      <c r="K67" s="1329" t="s">
        <v>1390</v>
      </c>
      <c r="L67" s="1329">
        <f ca="1">IF(M49&gt;=10000,(8.25+(M49-10000)*0.01%),IF(AND(M49&gt;=8000,M49&lt;10000),(7.85+(M49-8000)*0.02%),IF(AND(M49&gt;=5000,M49&lt;8000),(6.65+(M49-5000)*0.04%),IF(AND(M49&gt;=2000,M49&lt;5000),(4.25+(PM49-2000)*0.08%),IF(AND(M49&gt;=1000,M49&lt;2000),(2.75+(M49-1000)*0.15%),IF(AND(M49&gt;=100,M49&lt;1000),(0.5+(M49-100)*0.25%),IF(AND(M49&gt;0,M49&lt;100),M49*0.5%)))))))</f>
        <v>2.65</v>
      </c>
      <c r="M67" s="300">
        <f ca="1">ROUND(L67*0.9,1)</f>
        <v>2.4</v>
      </c>
      <c r="N67" s="2540"/>
      <c r="Z67" s="1749"/>
      <c r="AI67" s="1750"/>
    </row>
    <row r="68" spans="1:35" ht="14.25" customHeight="1" thickBot="1">
      <c r="A68" s="174" t="s">
        <v>329</v>
      </c>
      <c r="B68" s="175" t="s">
        <v>1391</v>
      </c>
      <c r="C68" s="2566">
        <f ca="1">IF(C67&lt;=0,0,ROUND(C67*D68,0))</f>
        <v>217</v>
      </c>
      <c r="D68" s="2567">
        <f>'数据-取费表'!B41</f>
        <v>5.6000000000000001E-2</v>
      </c>
      <c r="E68" s="176"/>
      <c r="F68" s="1805"/>
      <c r="G68" s="1805"/>
      <c r="H68" s="1807"/>
      <c r="I68" s="127"/>
      <c r="J68" s="3639"/>
      <c r="K68" s="1329" t="s">
        <v>1392</v>
      </c>
      <c r="L68" s="1329">
        <f ca="1">IF(M49&gt;10000,M49*0.5%,IF(AND(M49&gt;5000,M49&lt;=10000),M49*1%,IF(AND(M49&gt;1000,M49&lt;=5000),M49*2%,IF(AND(M49&gt;200,M49&lt;=1000),M49*3%,M49*5%))))</f>
        <v>81.36</v>
      </c>
      <c r="M68" s="300">
        <f ca="1">ROUND(L68,1)</f>
        <v>81.400000000000006</v>
      </c>
      <c r="N68" s="2540"/>
      <c r="Z68" s="1749"/>
      <c r="AI68" s="1750"/>
    </row>
    <row r="69" spans="1:35" s="1769" customFormat="1" ht="16.5" customHeight="1">
      <c r="A69" s="1808"/>
      <c r="B69" s="1809"/>
      <c r="C69" s="1810"/>
      <c r="D69" s="1811"/>
      <c r="E69" s="1812"/>
      <c r="F69" s="1575"/>
      <c r="G69" s="1575"/>
      <c r="H69" s="1574"/>
      <c r="I69" s="1744"/>
      <c r="J69" s="3639"/>
      <c r="K69" s="1329" t="s">
        <v>1393</v>
      </c>
      <c r="L69" s="1329"/>
      <c r="M69" s="300">
        <f ca="1">ROUND(SUM(M63:M68),0)</f>
        <v>149</v>
      </c>
      <c r="N69" s="2542">
        <f ca="1">M69/M49</f>
        <v>3.662733529990167E-2</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4.4" thickBot="1">
      <c r="A70" s="3601" t="s">
        <v>1394</v>
      </c>
      <c r="B70" s="3602"/>
      <c r="C70" s="3602"/>
      <c r="D70" s="3602"/>
      <c r="E70" s="3602"/>
      <c r="F70" s="3602"/>
      <c r="G70" s="3602"/>
      <c r="H70" s="3602"/>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3.8">
      <c r="A71" s="3580" t="s">
        <v>1375</v>
      </c>
      <c r="B71" s="3581"/>
      <c r="C71" s="2018"/>
      <c r="D71" s="2018" t="s">
        <v>1376</v>
      </c>
      <c r="E71" s="177" t="s">
        <v>1377</v>
      </c>
      <c r="F71" s="178"/>
      <c r="G71" s="178"/>
      <c r="H71" s="179"/>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3.8">
      <c r="A72" s="171" t="s">
        <v>330</v>
      </c>
      <c r="B72" s="172" t="s">
        <v>1395</v>
      </c>
      <c r="C72" s="2565">
        <f ca="1">ROUND(D45/(1+'数据-取费表'!C42),0)</f>
        <v>3874</v>
      </c>
      <c r="D72" s="168" t="s">
        <v>26</v>
      </c>
      <c r="E72" s="2328"/>
      <c r="F72" s="2327"/>
      <c r="G72" s="2327"/>
      <c r="H72" s="180"/>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3.8">
      <c r="A73" s="171" t="s">
        <v>327</v>
      </c>
      <c r="B73" s="161" t="s">
        <v>1396</v>
      </c>
      <c r="C73" s="2565">
        <f ca="1">C74+C78</f>
        <v>23</v>
      </c>
      <c r="D73" s="168" t="s">
        <v>26</v>
      </c>
      <c r="E73" s="2328"/>
      <c r="F73" s="2327"/>
      <c r="G73" s="2327"/>
      <c r="H73" s="180"/>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7" t="s">
        <v>325</v>
      </c>
      <c r="B74" s="168" t="s">
        <v>1397</v>
      </c>
      <c r="C74" s="168">
        <f>ROUND(IF(G77="2016年5月1日后购买",C75/(1+'数据-取费表'!C42)+C76+C77,C75+C76+C77),0)</f>
        <v>0</v>
      </c>
      <c r="D74" s="168" t="s">
        <v>26</v>
      </c>
      <c r="E74" s="2328"/>
      <c r="F74" s="2327"/>
      <c r="G74" s="2327"/>
      <c r="H74" s="180"/>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28.8">
      <c r="A75" s="167" t="s">
        <v>331</v>
      </c>
      <c r="B75" s="168" t="s">
        <v>1398</v>
      </c>
      <c r="C75" s="2568"/>
      <c r="D75" s="168" t="s">
        <v>26</v>
      </c>
      <c r="E75" s="182" t="s">
        <v>1399</v>
      </c>
      <c r="F75" s="2569"/>
      <c r="G75" s="182" t="s">
        <v>1400</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7" t="s">
        <v>332</v>
      </c>
      <c r="B76" s="183" t="s">
        <v>1401</v>
      </c>
      <c r="C76" s="168">
        <f>IF(F75="购房发票",ROUND(C75*H75*D76,0),0)</f>
        <v>0</v>
      </c>
      <c r="D76" s="2571">
        <v>0.05</v>
      </c>
      <c r="E76" s="3575" t="s">
        <v>1402</v>
      </c>
      <c r="F76" s="3549"/>
      <c r="G76" s="3549"/>
      <c r="H76" s="3600"/>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7" t="s">
        <v>333</v>
      </c>
      <c r="B77" s="168" t="s">
        <v>1403</v>
      </c>
      <c r="C77" s="168">
        <f>ROUND(IF(G77="个人住宅",0,IF(G77="2016年5月1日前购买",C75*D77,C75*D77/(1+'数据-取费表'!C42))),0)</f>
        <v>0</v>
      </c>
      <c r="D77" s="2572">
        <f>'数据-取费表'!B48+'数据-取费表'!B49</f>
        <v>3.0499999999999999E-2</v>
      </c>
      <c r="E77" s="2321" t="s">
        <v>1404</v>
      </c>
      <c r="F77" s="184"/>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7" t="s">
        <v>326</v>
      </c>
      <c r="B78" s="168" t="s">
        <v>1405</v>
      </c>
      <c r="C78" s="2573">
        <f ca="1">ROUND(D45*D78/(1+'数据-取费表'!C42),0)</f>
        <v>23</v>
      </c>
      <c r="D78" s="2574">
        <f>'数据-取费表'!B43</f>
        <v>6.000000000000001E-3</v>
      </c>
      <c r="E78" s="3559" t="s">
        <v>1406</v>
      </c>
      <c r="F78" s="3560"/>
      <c r="G78" s="3560"/>
      <c r="H78" s="3569"/>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3.8">
      <c r="A79" s="171" t="s">
        <v>334</v>
      </c>
      <c r="B79" s="172" t="s">
        <v>1407</v>
      </c>
      <c r="C79" s="2565">
        <f ca="1">C72-C73</f>
        <v>3851</v>
      </c>
      <c r="D79" s="168" t="s">
        <v>26</v>
      </c>
      <c r="E79" s="2328"/>
      <c r="F79" s="2327"/>
      <c r="G79" s="2327"/>
      <c r="H79" s="180"/>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1" t="s">
        <v>335</v>
      </c>
      <c r="B80" s="172" t="s">
        <v>1408</v>
      </c>
      <c r="C80" s="2575">
        <f ca="1">IF(C79&lt;=0,0,C79/C73)</f>
        <v>167.43478260869566</v>
      </c>
      <c r="D80" s="168"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0"/>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6" thickBot="1">
      <c r="A81" s="174" t="s">
        <v>336</v>
      </c>
      <c r="B81" s="175" t="s">
        <v>1409</v>
      </c>
      <c r="C81" s="2576">
        <f ca="1">ROUND(IF(C79&lt;=0,0,IF(C80&gt;=200%,C79*60%-C73*35%,IF(C80&gt;=100%,C79*50%-C73*15%,IF(C80&gt;=50%,C79*40%-C73*5%,IF(C80&lt;50%,C79*30%,0))))),0)</f>
        <v>2303</v>
      </c>
      <c r="D81" s="2577"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4.4" thickBot="1">
      <c r="A83" s="3601" t="s">
        <v>1410</v>
      </c>
      <c r="B83" s="3602"/>
      <c r="C83" s="3602"/>
      <c r="D83" s="3602"/>
      <c r="E83" s="3602"/>
      <c r="F83" s="3602"/>
      <c r="G83" s="3602"/>
      <c r="H83" s="3602"/>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3.8">
      <c r="A84" s="3580" t="s">
        <v>1375</v>
      </c>
      <c r="B84" s="3581"/>
      <c r="C84" s="2018"/>
      <c r="D84" s="2018" t="s">
        <v>1376</v>
      </c>
      <c r="E84" s="177" t="s">
        <v>1377</v>
      </c>
      <c r="F84" s="178"/>
      <c r="G84" s="178"/>
      <c r="H84" s="189"/>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3.8">
      <c r="A85" s="171" t="s">
        <v>330</v>
      </c>
      <c r="B85" s="172" t="s">
        <v>1395</v>
      </c>
      <c r="C85" s="2565">
        <f ca="1">ROUND(D45/(1+'数据-取费表'!C42),0)</f>
        <v>3874</v>
      </c>
      <c r="D85" s="168" t="s">
        <v>26</v>
      </c>
      <c r="E85" s="2328"/>
      <c r="F85" s="2327"/>
      <c r="G85" s="2327"/>
      <c r="H85" s="190"/>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3.8">
      <c r="A86" s="171" t="s">
        <v>327</v>
      </c>
      <c r="B86" s="161" t="s">
        <v>1396</v>
      </c>
      <c r="C86" s="2565">
        <f ca="1">IF(H88="仅含出让金",C87+C90+C91+C92+C93+C94,C87+C91+C92+C93+C94)</f>
        <v>23</v>
      </c>
      <c r="D86" s="2578"/>
      <c r="E86" s="2328"/>
      <c r="F86" s="2327"/>
      <c r="G86" s="2327"/>
      <c r="H86" s="190"/>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3.8">
      <c r="A87" s="167" t="s">
        <v>325</v>
      </c>
      <c r="B87" s="168" t="s">
        <v>1411</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4">
      <c r="A88" s="167" t="s">
        <v>331</v>
      </c>
      <c r="B88" s="168" t="s">
        <v>1412</v>
      </c>
      <c r="C88" s="2579"/>
      <c r="D88" s="2574"/>
      <c r="E88" s="191" t="s">
        <v>1413</v>
      </c>
      <c r="F88" s="2324"/>
      <c r="G88" s="192" t="s">
        <v>1414</v>
      </c>
      <c r="H88" s="1821"/>
      <c r="I88" s="1818"/>
      <c r="J88" s="2518" t="s">
        <v>2288</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3.8">
      <c r="A89" s="167" t="s">
        <v>332</v>
      </c>
      <c r="B89" s="168" t="s">
        <v>1403</v>
      </c>
      <c r="C89" s="2573">
        <f>ROUND(C88*D89,0)</f>
        <v>0</v>
      </c>
      <c r="D89" s="2574">
        <f>'数据-取费表'!B48+'数据-取费表'!B49</f>
        <v>3.0499999999999999E-2</v>
      </c>
      <c r="E89" s="191"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4">
      <c r="A90" s="167" t="s">
        <v>326</v>
      </c>
      <c r="B90" s="168" t="s">
        <v>1416</v>
      </c>
      <c r="C90" s="2579"/>
      <c r="D90" s="2574"/>
      <c r="E90" s="191" t="str">
        <f>IF(H88="-","土地取得成本中已包含该笔费用"," ")</f>
        <v xml:space="preserve"> </v>
      </c>
      <c r="F90" s="2324"/>
      <c r="G90" s="3641" t="s">
        <v>2129</v>
      </c>
      <c r="H90" s="3642"/>
      <c r="I90" s="1818"/>
      <c r="J90" s="2518" t="s">
        <v>2289</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7" t="s">
        <v>1417</v>
      </c>
      <c r="B91" s="168" t="s">
        <v>1418</v>
      </c>
      <c r="C91" s="2573">
        <f>IF(H91="——",成本法!C33,I91)</f>
        <v>0</v>
      </c>
      <c r="D91" s="2574"/>
      <c r="E91" s="3559" t="s">
        <v>1419</v>
      </c>
      <c r="F91" s="3560"/>
      <c r="G91" s="3560"/>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7" t="s">
        <v>1420</v>
      </c>
      <c r="B92" s="168" t="s">
        <v>1421</v>
      </c>
      <c r="C92" s="2573">
        <f>ROUND((C87+C90+C91)*D92,0)</f>
        <v>0</v>
      </c>
      <c r="D92" s="2580"/>
      <c r="E92" s="3559" t="s">
        <v>1422</v>
      </c>
      <c r="F92" s="3560"/>
      <c r="G92" s="3560"/>
      <c r="H92" s="3569"/>
      <c r="I92" s="1818"/>
      <c r="J92" s="2519" t="s">
        <v>2290</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7" t="s">
        <v>1423</v>
      </c>
      <c r="B93" s="168" t="s">
        <v>1405</v>
      </c>
      <c r="C93" s="2573">
        <f ca="1">ROUND(D45*D93/(1+'数据-取费表'!C42),0)</f>
        <v>23</v>
      </c>
      <c r="D93" s="2574">
        <f>'数据-取费表'!B43</f>
        <v>6.000000000000001E-3</v>
      </c>
      <c r="E93" s="3559" t="s">
        <v>1406</v>
      </c>
      <c r="F93" s="3560"/>
      <c r="G93" s="3560"/>
      <c r="H93" s="3569"/>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7" t="s">
        <v>1424</v>
      </c>
      <c r="B94" s="168" t="s">
        <v>1425</v>
      </c>
      <c r="C94" s="2579">
        <f>ROUND((C87+C90+C91)*D94,0)</f>
        <v>0</v>
      </c>
      <c r="D94" s="2574">
        <v>0.2</v>
      </c>
      <c r="E94" s="3570" t="s">
        <v>1426</v>
      </c>
      <c r="F94" s="3571"/>
      <c r="G94" s="3571"/>
      <c r="H94" s="3572"/>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3.8">
      <c r="A95" s="171" t="s">
        <v>334</v>
      </c>
      <c r="B95" s="172" t="s">
        <v>1407</v>
      </c>
      <c r="C95" s="2565">
        <f ca="1">ROUND(C85-C86,0)</f>
        <v>3851</v>
      </c>
      <c r="D95" s="168" t="s">
        <v>26</v>
      </c>
      <c r="E95" s="2328"/>
      <c r="F95" s="2327"/>
      <c r="G95" s="2327"/>
      <c r="H95" s="190"/>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1" t="s">
        <v>335</v>
      </c>
      <c r="B96" s="172" t="s">
        <v>1408</v>
      </c>
      <c r="C96" s="2575">
        <f ca="1">IF(C95&lt;=0,0,C95/C86)</f>
        <v>167.43478260869566</v>
      </c>
      <c r="D96" s="168"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0"/>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6" thickBot="1">
      <c r="A97" s="174" t="s">
        <v>336</v>
      </c>
      <c r="B97" s="175" t="s">
        <v>1409</v>
      </c>
      <c r="C97" s="2576">
        <f ca="1">ROUND(IF(C95&lt;=0,0,IF(C96&gt;=200%,C95*60%-C86*35%,IF(C96&gt;=100%,C95*50%-C86*15%,IF(C96&gt;=50%,C95*40%-C86*5%,IF(C96&lt;50%,C95*30%,0))))),0)</f>
        <v>2303</v>
      </c>
      <c r="D97" s="2577"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7"/>
    </row>
    <row r="99" spans="1:35" ht="21.75" customHeight="1" thickBot="1">
      <c r="A99" s="1797" t="s">
        <v>1427</v>
      </c>
      <c r="B99" s="1744"/>
      <c r="C99" s="1744"/>
      <c r="D99" s="1744"/>
      <c r="E99" s="1575"/>
      <c r="F99" s="1575"/>
      <c r="G99" s="1575"/>
      <c r="H99" s="1574"/>
      <c r="I99" s="127"/>
    </row>
    <row r="100" spans="1:35" ht="18.75" customHeight="1">
      <c r="A100" s="3543" t="s">
        <v>1428</v>
      </c>
      <c r="B100" s="3544"/>
      <c r="C100" s="3544"/>
      <c r="D100" s="3561"/>
      <c r="E100" s="3544" t="s">
        <v>1429</v>
      </c>
      <c r="F100" s="3544"/>
      <c r="G100" s="3544"/>
      <c r="H100" s="3561"/>
      <c r="I100" s="127"/>
    </row>
    <row r="101" spans="1:35" ht="18.75" customHeight="1">
      <c r="A101" s="3622" t="s">
        <v>1430</v>
      </c>
      <c r="B101" s="3623"/>
      <c r="C101" s="2582" t="str">
        <f>C4</f>
        <v>成本法</v>
      </c>
      <c r="D101" s="2583" t="str">
        <f>D4</f>
        <v>收益法</v>
      </c>
      <c r="E101" s="3636" t="s">
        <v>1431</v>
      </c>
      <c r="F101" s="3593"/>
      <c r="G101" s="1824" t="s">
        <v>1432</v>
      </c>
      <c r="H101" s="2592">
        <f ca="1">H118</f>
        <v>4068</v>
      </c>
      <c r="I101" s="127"/>
    </row>
    <row r="102" spans="1:35" ht="18.75" customHeight="1">
      <c r="A102" s="3595" t="s">
        <v>1433</v>
      </c>
      <c r="B102" s="2581" t="s">
        <v>1432</v>
      </c>
      <c r="C102" s="2582">
        <f ca="1">C19</f>
        <v>4629</v>
      </c>
      <c r="D102" s="2583">
        <f ca="1">D19</f>
        <v>2758</v>
      </c>
      <c r="E102" s="3636"/>
      <c r="F102" s="3593"/>
      <c r="G102" s="1824" t="s">
        <v>1434</v>
      </c>
      <c r="H102" s="2552">
        <f ca="1">I118</f>
        <v>199041</v>
      </c>
      <c r="I102" s="127"/>
    </row>
    <row r="103" spans="1:35" ht="42.75" customHeight="1">
      <c r="A103" s="3595"/>
      <c r="B103" s="2581" t="s">
        <v>1434</v>
      </c>
      <c r="C103" s="2584">
        <f ca="1">C20</f>
        <v>226490</v>
      </c>
      <c r="D103" s="2585">
        <f ca="1">D20</f>
        <v>134945</v>
      </c>
      <c r="E103" s="3630" t="s">
        <v>1435</v>
      </c>
      <c r="F103" s="3631"/>
      <c r="G103" s="1825" t="s">
        <v>1436</v>
      </c>
      <c r="H103" s="2592">
        <f>IF(D36="正常操作",H104+H105+H106,H105+H106)</f>
        <v>0</v>
      </c>
      <c r="I103" s="127"/>
    </row>
    <row r="104" spans="1:35" ht="18.75" customHeight="1">
      <c r="A104" s="3595" t="s">
        <v>1437</v>
      </c>
      <c r="B104" s="2586" t="s">
        <v>1432</v>
      </c>
      <c r="C104" s="2587">
        <f ca="1">H118</f>
        <v>4068</v>
      </c>
      <c r="D104" s="2588"/>
      <c r="E104" s="1671" t="s">
        <v>1438</v>
      </c>
      <c r="F104" s="1663"/>
      <c r="G104" s="1825" t="s">
        <v>1436</v>
      </c>
      <c r="H104" s="2593">
        <f>IF(D36="同一抵押权人同一抵押物续贷",C36&amp;"（续贷，未扣减，详见特别提示）",C36)</f>
        <v>0</v>
      </c>
      <c r="I104" s="127"/>
    </row>
    <row r="105" spans="1:35" ht="18.75" customHeight="1" thickBot="1">
      <c r="A105" s="3596"/>
      <c r="B105" s="2589" t="s">
        <v>1434</v>
      </c>
      <c r="C105" s="2590">
        <f ca="1">I118</f>
        <v>199041</v>
      </c>
      <c r="D105" s="2591"/>
      <c r="E105" s="1671" t="s">
        <v>1439</v>
      </c>
      <c r="F105" s="1663"/>
      <c r="G105" s="1825" t="s">
        <v>1436</v>
      </c>
      <c r="H105" s="2594">
        <f>C37</f>
        <v>0</v>
      </c>
      <c r="I105" s="127"/>
    </row>
    <row r="106" spans="1:35" ht="18.75" customHeight="1">
      <c r="A106" s="1744" t="s">
        <v>1440</v>
      </c>
      <c r="B106" s="1744"/>
      <c r="C106" s="1744"/>
      <c r="D106" s="1744"/>
      <c r="E106" s="1826" t="s">
        <v>1441</v>
      </c>
      <c r="F106" s="1663"/>
      <c r="G106" s="1825" t="s">
        <v>1436</v>
      </c>
      <c r="H106" s="2594">
        <f>C38</f>
        <v>0</v>
      </c>
      <c r="I106" s="127"/>
    </row>
    <row r="107" spans="1:35" ht="18.75" customHeight="1">
      <c r="A107" s="127"/>
      <c r="B107" s="127"/>
      <c r="C107" s="127"/>
      <c r="D107" s="127"/>
      <c r="E107" s="3592" t="str">
        <f>IF(项目基本情况!E8="已注销","——","3.房地产抵押价值")</f>
        <v>3.房地产抵押价值</v>
      </c>
      <c r="F107" s="3593"/>
      <c r="G107" s="1824" t="s">
        <v>1432</v>
      </c>
      <c r="H107" s="2592">
        <f ca="1">IF(E107="——","——",H101-H103)</f>
        <v>4068</v>
      </c>
      <c r="I107" s="127"/>
    </row>
    <row r="108" spans="1:35" ht="18.75" customHeight="1">
      <c r="A108" s="127"/>
      <c r="B108" s="127"/>
      <c r="C108" s="127"/>
      <c r="D108" s="127"/>
      <c r="E108" s="3592"/>
      <c r="F108" s="3593"/>
      <c r="G108" s="1824" t="s">
        <v>1434</v>
      </c>
      <c r="H108" s="2552">
        <f ca="1">ROUND(H107*10000/'数据-汇总表'!E3,0)</f>
        <v>199041</v>
      </c>
      <c r="I108" s="127"/>
    </row>
    <row r="109" spans="1:35" ht="18.75" customHeight="1">
      <c r="A109" s="127"/>
      <c r="B109" s="127"/>
      <c r="C109" s="127"/>
      <c r="D109" s="127"/>
      <c r="E109" s="3592" t="str">
        <f>IF(项目基本情况!E8="已注销及未注销","4.抵押担保权已注销时的房地产抵押价值",IF(项目基本情况!E8="已注销","3.抵押担保权已注销时的房地产抵押价值","——"))</f>
        <v>——</v>
      </c>
      <c r="F109" s="3593"/>
      <c r="G109" s="1824" t="s">
        <v>1432</v>
      </c>
      <c r="H109" s="2595" t="str">
        <f>IF(E109="——","——",H101-H105-H106)</f>
        <v>——</v>
      </c>
      <c r="I109" s="127"/>
    </row>
    <row r="110" spans="1:35" ht="18.75" customHeight="1">
      <c r="A110" s="127"/>
      <c r="B110" s="127"/>
      <c r="C110" s="127"/>
      <c r="D110" s="127"/>
      <c r="E110" s="3592"/>
      <c r="F110" s="3593"/>
      <c r="G110" s="1824" t="s">
        <v>1434</v>
      </c>
      <c r="H110" s="2552" t="str">
        <f>IF(H109="——","——",ROUND(H109*10000/'数据-汇总表'!E3,0))</f>
        <v>——</v>
      </c>
      <c r="I110" s="127"/>
    </row>
    <row r="111" spans="1:35" ht="18.75" customHeight="1">
      <c r="A111" s="127"/>
      <c r="B111" s="127"/>
      <c r="C111" s="127"/>
      <c r="D111" s="127"/>
      <c r="E111" s="3624" t="str">
        <f>IF(项目基本情况!E9="抵押净值",IF(OR(项目基本情况!E8="已注销",项目基本情况!E8="房地产抵押价值"),"4.抵押净值","5.抵押净值"),"——")</f>
        <v>——</v>
      </c>
      <c r="F111" s="3594"/>
      <c r="G111" s="1824" t="s">
        <v>1432</v>
      </c>
      <c r="H111" s="2592" t="str">
        <f>IF(E111="——","——",N59)</f>
        <v>——</v>
      </c>
      <c r="I111" s="127"/>
    </row>
    <row r="112" spans="1:35" ht="18.75" customHeight="1" thickBot="1">
      <c r="A112" s="127"/>
      <c r="B112" s="127"/>
      <c r="C112" s="127"/>
      <c r="D112" s="127"/>
      <c r="E112" s="3625"/>
      <c r="F112" s="3626"/>
      <c r="G112" s="1827" t="s">
        <v>1434</v>
      </c>
      <c r="H112" s="2596" t="str">
        <f>IF(E111="——","——",N61)</f>
        <v>——</v>
      </c>
      <c r="I112" s="127"/>
    </row>
    <row r="113" spans="1:27" ht="18.75" customHeight="1">
      <c r="A113" s="127"/>
      <c r="B113" s="127"/>
      <c r="C113" s="127"/>
      <c r="D113" s="127"/>
      <c r="E113" s="3597" t="s">
        <v>1440</v>
      </c>
      <c r="F113" s="3597"/>
      <c r="G113" s="3597"/>
      <c r="H113" s="3597"/>
      <c r="I113" s="127"/>
    </row>
    <row r="114" spans="1:27" ht="3.75" customHeight="1">
      <c r="A114" s="1744"/>
      <c r="B114" s="1744"/>
      <c r="C114" s="1744"/>
      <c r="D114" s="1744"/>
      <c r="E114" s="1806"/>
      <c r="F114" s="1806"/>
      <c r="G114" s="1806"/>
      <c r="H114" s="1806"/>
      <c r="I114" s="1744"/>
    </row>
    <row r="115" spans="1:27" ht="18.75" customHeight="1">
      <c r="A115" s="3607" t="s">
        <v>1442</v>
      </c>
      <c r="B115" s="3608"/>
      <c r="C115" s="3608"/>
      <c r="D115" s="3608"/>
      <c r="E115" s="3608"/>
      <c r="F115" s="3608"/>
      <c r="G115" s="3608"/>
      <c r="H115" s="3608"/>
      <c r="I115" s="3609"/>
    </row>
    <row r="116" spans="1:27" ht="27" customHeight="1">
      <c r="A116" s="3563" t="s">
        <v>1443</v>
      </c>
      <c r="B116" s="3598" t="s">
        <v>1444</v>
      </c>
      <c r="C116" s="3598" t="s">
        <v>1445</v>
      </c>
      <c r="D116" s="3611" t="s">
        <v>1446</v>
      </c>
      <c r="E116" s="3612"/>
      <c r="F116" s="3606" t="s">
        <v>1447</v>
      </c>
      <c r="G116" s="3606"/>
      <c r="H116" s="3563" t="s">
        <v>1448</v>
      </c>
      <c r="I116" s="3563"/>
    </row>
    <row r="117" spans="1:27" ht="18.75" customHeight="1">
      <c r="A117" s="3563"/>
      <c r="B117" s="3599"/>
      <c r="C117" s="3599"/>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204.38</v>
      </c>
      <c r="C118" s="2326">
        <f>M19</f>
        <v>2229.4899999999998</v>
      </c>
      <c r="D118" s="2326">
        <f ca="1">ROUND(IF(D32="总价",C34,E118*B118/10000),0)</f>
        <v>3909</v>
      </c>
      <c r="E118" s="2326">
        <f ca="1">ROUND(IF(C33="自定义",IF(D32="楼面单价",C34,D118*10000/B118),I118-G118),0)</f>
        <v>191261</v>
      </c>
      <c r="F118" s="2326">
        <f ca="1">ROUND(IF(D32="总价",C35,G118*B118/10000),0)</f>
        <v>159</v>
      </c>
      <c r="G118" s="2326">
        <f ca="1">ROUND(IF(D32="楼面单价",C35,F118*10000/B118),0)</f>
        <v>7780</v>
      </c>
      <c r="H118" s="2326">
        <f ca="1">ROUND(IF(D32="总价",C32,I118*B118/10000),0)</f>
        <v>4068</v>
      </c>
      <c r="I118" s="2326">
        <f ca="1">ROUND(IF(D32="楼面单价",C32,H118*10000/B118),0)</f>
        <v>199041</v>
      </c>
    </row>
    <row r="119" spans="1:27" ht="18.75" customHeight="1">
      <c r="A119" s="3563" t="s">
        <v>1452</v>
      </c>
      <c r="B119" s="3563"/>
      <c r="C119" s="3563"/>
      <c r="D119" s="3603" t="str">
        <f ca="1">NUMBERSTRING(INT(D118*10000),2)&amp;"元整"</f>
        <v>叁仟玖佰零玖万元整</v>
      </c>
      <c r="E119" s="3605"/>
      <c r="F119" s="3603" t="str">
        <f ca="1">NUMBERSTRING(INT(F118*10000),2)&amp;"元整"</f>
        <v>壹佰伍拾玖万元整</v>
      </c>
      <c r="G119" s="3605"/>
      <c r="H119" s="3603" t="str">
        <f ca="1">NUMBERSTRING(INT(H118*10000),2)&amp;"元整"</f>
        <v>肆仟零陆拾捌万元整</v>
      </c>
      <c r="I119" s="3605"/>
    </row>
    <row r="120" spans="1:27" ht="18.75" customHeight="1">
      <c r="A120" s="3627" t="str">
        <f>IF(项目基本情况!B9="房地产市场价值","",MID(E103,3,LEN(E103)-2))</f>
        <v>估价师知悉的法定优先受偿款</v>
      </c>
      <c r="B120" s="3628"/>
      <c r="C120" s="3629"/>
      <c r="D120" s="3627">
        <f>H103</f>
        <v>0</v>
      </c>
      <c r="E120" s="3628"/>
      <c r="F120" s="3628"/>
      <c r="G120" s="3628"/>
      <c r="H120" s="3628"/>
      <c r="I120" s="3629"/>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03" t="s">
        <v>1452</v>
      </c>
      <c r="B121" s="3604"/>
      <c r="C121" s="3605"/>
      <c r="D121" s="3603" t="str">
        <f>IF(D120=0,"零元整",NUMBERSTRING(INT(D120*10000),2)&amp;"元整")</f>
        <v>零元整</v>
      </c>
      <c r="E121" s="3604"/>
      <c r="F121" s="3604"/>
      <c r="G121" s="3604"/>
      <c r="H121" s="3604"/>
      <c r="I121" s="3605"/>
      <c r="AA121" s="723"/>
    </row>
    <row r="122" spans="1:27" ht="18.75" customHeight="1">
      <c r="A122" s="3594" t="str">
        <f>IF(项目基本情况!B9="房地产市场价值","",MID(E107,3,LEN(E107)-2))</f>
        <v>房地产抵押价值</v>
      </c>
      <c r="B122" s="3594"/>
      <c r="C122" s="3594"/>
      <c r="D122" s="3627">
        <f ca="1">H107</f>
        <v>4068</v>
      </c>
      <c r="E122" s="3628"/>
      <c r="F122" s="3628"/>
      <c r="G122" s="3628"/>
      <c r="H122" s="3628"/>
      <c r="I122" s="3629"/>
      <c r="AA122" s="723"/>
    </row>
    <row r="123" spans="1:27" ht="18.75" customHeight="1">
      <c r="A123" s="3563" t="s">
        <v>1452</v>
      </c>
      <c r="B123" s="3563"/>
      <c r="C123" s="3563"/>
      <c r="D123" s="3603" t="str">
        <f ca="1">NUMBERSTRING(INT(D122*10000),2)&amp;"元整"</f>
        <v>肆仟零陆拾捌万元整</v>
      </c>
      <c r="E123" s="3604"/>
      <c r="F123" s="3604"/>
      <c r="G123" s="3604"/>
      <c r="H123" s="3604"/>
      <c r="I123" s="3605"/>
      <c r="AA123" s="723"/>
    </row>
    <row r="124" spans="1:27" ht="18.75" customHeight="1">
      <c r="A124" s="3594" t="str">
        <f>IF(项目基本情况!B9="房地产市场价值","",MID(E109,3,LEN(E109)-2))</f>
        <v/>
      </c>
      <c r="B124" s="3594"/>
      <c r="C124" s="3594"/>
      <c r="D124" s="3627" t="str">
        <f>H109</f>
        <v>——</v>
      </c>
      <c r="E124" s="3628"/>
      <c r="F124" s="3628"/>
      <c r="G124" s="3628"/>
      <c r="H124" s="3628"/>
      <c r="I124" s="3629"/>
      <c r="AA124" s="723"/>
    </row>
    <row r="125" spans="1:27" ht="18.75" customHeight="1">
      <c r="A125" s="3563" t="s">
        <v>1452</v>
      </c>
      <c r="B125" s="3563"/>
      <c r="C125" s="3563"/>
      <c r="D125" s="3603" t="e">
        <f>NUMBERSTRING(INT(D124*10000),2)&amp;"元整"</f>
        <v>#VALUE!</v>
      </c>
      <c r="E125" s="3604"/>
      <c r="F125" s="3604"/>
      <c r="G125" s="3604"/>
      <c r="H125" s="3604"/>
      <c r="I125" s="3605"/>
      <c r="AA125" s="723"/>
    </row>
    <row r="126" spans="1:27" ht="18.75" customHeight="1">
      <c r="A126" s="3594" t="str">
        <f>IF(项目基本情况!B9="房地产市场价值","",MID(E111,3,LEN(E111)-2))</f>
        <v/>
      </c>
      <c r="B126" s="3594"/>
      <c r="C126" s="3594"/>
      <c r="D126" s="3627" t="str">
        <f>H111</f>
        <v>——</v>
      </c>
      <c r="E126" s="3628"/>
      <c r="F126" s="3628"/>
      <c r="G126" s="3628"/>
      <c r="H126" s="3628"/>
      <c r="I126" s="3629"/>
      <c r="AA126" s="723"/>
    </row>
    <row r="127" spans="1:27" ht="18.75" customHeight="1">
      <c r="A127" s="3563" t="s">
        <v>1452</v>
      </c>
      <c r="B127" s="3563"/>
      <c r="C127" s="3563"/>
      <c r="D127" s="3603" t="e">
        <f>NUMBERSTRING(INT(D126*10000),2)&amp;"元整"</f>
        <v>#VALUE!</v>
      </c>
      <c r="E127" s="3604"/>
      <c r="F127" s="3604"/>
      <c r="G127" s="3604"/>
      <c r="H127" s="3604"/>
      <c r="I127" s="3605"/>
      <c r="AA127" s="723"/>
    </row>
    <row r="128" spans="1:27" ht="21.75" customHeight="1">
      <c r="A128" s="3610" t="s">
        <v>1453</v>
      </c>
      <c r="B128" s="3610"/>
      <c r="C128" s="3610"/>
      <c r="D128" s="3610"/>
      <c r="E128" s="3610"/>
      <c r="F128" s="3610"/>
      <c r="G128" s="3610"/>
      <c r="H128" s="3610"/>
      <c r="I128" s="3610"/>
      <c r="AA128" s="723"/>
    </row>
    <row r="129" spans="1:35" ht="21.75" customHeight="1">
      <c r="A129" s="1828" t="s">
        <v>1454</v>
      </c>
      <c r="B129" s="1829"/>
      <c r="C129" s="1830" t="s">
        <v>1455</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1456</v>
      </c>
      <c r="G135" s="1845"/>
      <c r="H135" s="1845"/>
      <c r="I135" s="1846" t="s">
        <v>1457</v>
      </c>
    </row>
    <row r="136" spans="1:35" ht="21.75" customHeight="1">
      <c r="A136" s="723"/>
      <c r="B136" s="1847"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1459</v>
      </c>
    </row>
    <row r="139" spans="1:35" ht="21.75" customHeight="1">
      <c r="A139" s="723"/>
      <c r="B139" s="1847" t="s">
        <v>1460</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1459</v>
      </c>
    </row>
    <row r="142" spans="1:35" ht="21.75" customHeight="1">
      <c r="A142" s="723"/>
      <c r="B142" s="1847"/>
      <c r="C142" s="1848"/>
      <c r="D142" s="1849"/>
      <c r="E142" s="1849"/>
      <c r="F142" s="1738"/>
      <c r="G142" s="723"/>
      <c r="H142" s="723"/>
      <c r="I142" s="723"/>
    </row>
    <row r="143" spans="1:35" s="128"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8"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8"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42" sqref="G42:G44"/>
    </sheetView>
  </sheetViews>
  <sheetFormatPr defaultColWidth="8.33203125" defaultRowHeight="13.2"/>
  <cols>
    <col min="1" max="1" width="10.33203125" style="267" customWidth="1"/>
    <col min="2" max="2" width="29.21875" style="249" customWidth="1"/>
    <col min="3" max="3" width="12.109375" style="249" customWidth="1"/>
    <col min="4" max="5" width="11.21875" style="270" customWidth="1"/>
    <col min="6" max="6" width="9.44140625" style="249" customWidth="1"/>
    <col min="7" max="7" width="31.88671875" style="249" customWidth="1"/>
    <col min="8" max="254" width="9" style="249" customWidth="1"/>
    <col min="255" max="16384" width="8.33203125" style="249"/>
  </cols>
  <sheetData>
    <row r="1" spans="1:9" s="198" customFormat="1" ht="21">
      <c r="A1" s="194" t="s">
        <v>1461</v>
      </c>
      <c r="B1" s="1467"/>
      <c r="C1" s="196"/>
      <c r="D1" s="196"/>
      <c r="E1" s="196"/>
      <c r="F1" s="196"/>
      <c r="G1" s="1123">
        <f>MATCH(B1,'数据-取费表'!A6:A16,0)+5</f>
        <v>7</v>
      </c>
    </row>
    <row r="2" spans="1:9" s="198" customFormat="1" ht="18" customHeight="1">
      <c r="A2" s="199" t="s">
        <v>1462</v>
      </c>
      <c r="B2" s="200">
        <f ca="1">IF(D2="——",C52,C52-E2)</f>
        <v>4629</v>
      </c>
      <c r="C2" s="197" t="s">
        <v>1463</v>
      </c>
      <c r="D2" s="1850" t="s">
        <v>43</v>
      </c>
      <c r="E2" s="1166" t="e">
        <f ca="1">SUMIF(INDIRECT("'"&amp;G2&amp;"'"&amp;"!A:A"),"承租人权益价值",INDIRECT("'"&amp;G2&amp;"'"&amp;"!c:c"))</f>
        <v>#REF!</v>
      </c>
      <c r="F2" s="1851" t="s">
        <v>1463</v>
      </c>
      <c r="G2" s="1852"/>
    </row>
    <row r="3" spans="1:9" s="198" customFormat="1" ht="18" customHeight="1" thickBot="1">
      <c r="A3" s="201" t="s">
        <v>1464</v>
      </c>
      <c r="B3" s="202">
        <f ca="1">ROUND(B2*10000/(IF(B1="",'数据-汇总表'!E3,INDIRECT("'数据-取费表'!k"&amp;$G$1))),0)</f>
        <v>226490</v>
      </c>
      <c r="C3" s="197" t="s">
        <v>1465</v>
      </c>
      <c r="D3" s="197"/>
      <c r="E3" s="197"/>
      <c r="F3" s="197"/>
      <c r="G3" s="197"/>
    </row>
    <row r="4" spans="1:9" s="206" customFormat="1" ht="16.2">
      <c r="A4" s="203" t="s">
        <v>1466</v>
      </c>
      <c r="B4" s="204"/>
      <c r="C4" s="204"/>
      <c r="D4" s="204"/>
      <c r="E4" s="204"/>
      <c r="F4" s="204"/>
      <c r="G4" s="205"/>
    </row>
    <row r="5" spans="1:9" s="212" customFormat="1" ht="13.5" customHeight="1">
      <c r="A5" s="253" t="s">
        <v>1467</v>
      </c>
      <c r="B5" s="208" t="s">
        <v>1468</v>
      </c>
      <c r="C5" s="209">
        <f ca="1">C6+C7+C8</f>
        <v>3457</v>
      </c>
      <c r="D5" s="209" t="s">
        <v>1469</v>
      </c>
      <c r="E5" s="210" t="s">
        <v>1470</v>
      </c>
      <c r="F5" s="210" t="s">
        <v>1471</v>
      </c>
      <c r="G5" s="211"/>
    </row>
    <row r="6" spans="1:9" s="212" customFormat="1" ht="13.5" customHeight="1">
      <c r="A6" s="776" t="s">
        <v>1472</v>
      </c>
      <c r="B6" s="213" t="s">
        <v>1473</v>
      </c>
      <c r="C6" s="214">
        <f>基准地价修正!B2</f>
        <v>3351</v>
      </c>
      <c r="D6" s="215"/>
      <c r="E6" s="216"/>
      <c r="F6" s="216"/>
      <c r="G6" s="217"/>
    </row>
    <row r="7" spans="1:9" s="212" customFormat="1" ht="13.5" customHeight="1">
      <c r="A7" s="776" t="s">
        <v>1474</v>
      </c>
      <c r="B7" s="213" t="s">
        <v>1475</v>
      </c>
      <c r="C7" s="218">
        <f>ROUND(C6*F7,0)</f>
        <v>102</v>
      </c>
      <c r="D7" s="218"/>
      <c r="E7" s="216"/>
      <c r="F7" s="219">
        <f>IF(项目基本情况!B8="出让",0,'数据-取费表'!B48+'数据-取费表'!B49)</f>
        <v>3.0499999999999999E-2</v>
      </c>
      <c r="G7" s="217"/>
    </row>
    <row r="8" spans="1:9" s="221" customFormat="1">
      <c r="A8" s="776" t="s">
        <v>1476</v>
      </c>
      <c r="B8" s="213" t="s">
        <v>1477</v>
      </c>
      <c r="C8" s="218">
        <f ca="1">IF(G8="已包含在土地购买价格中","0",IF(B1="",'数据-取费表'!B29,IF(G9="全部缴纳",C9+C10,H9)))</f>
        <v>4</v>
      </c>
      <c r="D8" s="220"/>
      <c r="E8" s="218"/>
      <c r="F8" s="219"/>
      <c r="G8" s="1853" t="s">
        <v>3384</v>
      </c>
    </row>
    <row r="9" spans="1:9" s="212" customFormat="1" ht="13.5" customHeight="1">
      <c r="A9" s="777" t="s">
        <v>355</v>
      </c>
      <c r="B9" s="222" t="s">
        <v>1478</v>
      </c>
      <c r="C9" s="223">
        <f ca="1">ROUND(D9*E9/10000,0)</f>
        <v>0</v>
      </c>
      <c r="D9" s="843">
        <f ca="1">IF(B1="",'数据-汇总表'!E5,IF(INDIRECT("'数据-取费表'!c"&amp;$G$1)="住宅",INDIRECT("'数据-取费表'!k"&amp;$G$1),0))</f>
        <v>0</v>
      </c>
      <c r="E9" s="223">
        <f>'数据-取费表'!B27</f>
        <v>0</v>
      </c>
      <c r="F9" s="219"/>
      <c r="G9" s="1854" t="s">
        <v>3399</v>
      </c>
      <c r="H9" s="1134"/>
      <c r="I9" s="1855" t="s">
        <v>1479</v>
      </c>
    </row>
    <row r="10" spans="1:9" s="212" customFormat="1" ht="13.5" customHeight="1">
      <c r="A10" s="777" t="s">
        <v>356</v>
      </c>
      <c r="B10" s="222" t="s">
        <v>1480</v>
      </c>
      <c r="C10" s="223">
        <f ca="1">ROUND(D10*E10/10000,0)</f>
        <v>4</v>
      </c>
      <c r="D10" s="843">
        <f ca="1">IF(B1="",'数据-汇总表'!E6,IF(INDIRECT("'数据-取费表'!c"&amp;$G$1)="住宅",INDIRECT("'数据-取费表'!s"&amp;$G$1),INDIRECT("'数据-取费表'!k"&amp;$G$1)+INDIRECT("'数据-取费表'!s"&amp;$G$1)))</f>
        <v>204.38</v>
      </c>
      <c r="E10" s="223">
        <f>'数据-取费表'!B28</f>
        <v>200</v>
      </c>
      <c r="F10" s="219"/>
      <c r="G10" s="224"/>
    </row>
    <row r="11" spans="1:9" s="212" customFormat="1" ht="13.5" hidden="1" customHeight="1">
      <c r="A11" s="225" t="s">
        <v>4</v>
      </c>
      <c r="B11" s="213" t="s">
        <v>1481</v>
      </c>
      <c r="C11" s="209"/>
      <c r="D11" s="845"/>
      <c r="E11" s="216"/>
      <c r="F11" s="216"/>
      <c r="G11" s="217"/>
    </row>
    <row r="12" spans="1:9" s="212" customFormat="1" ht="13.5" hidden="1" customHeight="1">
      <c r="A12" s="225" t="s">
        <v>5</v>
      </c>
      <c r="B12" s="213" t="s">
        <v>1482</v>
      </c>
      <c r="C12" s="209">
        <v>0</v>
      </c>
      <c r="D12" s="845"/>
      <c r="E12" s="226"/>
      <c r="F12" s="219">
        <v>3.0499999999999999E-2</v>
      </c>
      <c r="G12" s="217"/>
    </row>
    <row r="13" spans="1:9" s="212" customFormat="1" ht="13.5" hidden="1" customHeight="1">
      <c r="A13" s="225" t="s">
        <v>6</v>
      </c>
      <c r="B13" s="213" t="s">
        <v>1483</v>
      </c>
      <c r="C13" s="209"/>
      <c r="D13" s="845"/>
      <c r="E13" s="216"/>
      <c r="F13" s="216"/>
      <c r="G13" s="217"/>
    </row>
    <row r="14" spans="1:9" s="212" customFormat="1" ht="13.5" hidden="1" customHeight="1">
      <c r="A14" s="225" t="s">
        <v>7</v>
      </c>
      <c r="B14" s="213" t="s">
        <v>1484</v>
      </c>
      <c r="C14" s="209"/>
      <c r="D14" s="845"/>
      <c r="E14" s="216"/>
      <c r="F14" s="216"/>
      <c r="G14" s="217" t="s">
        <v>1485</v>
      </c>
    </row>
    <row r="15" spans="1:9" s="212" customFormat="1" ht="13.5" hidden="1" customHeight="1">
      <c r="A15" s="225" t="s">
        <v>8</v>
      </c>
      <c r="B15" s="213" t="s">
        <v>1486</v>
      </c>
      <c r="C15" s="218"/>
      <c r="D15" s="845"/>
      <c r="E15" s="216"/>
      <c r="F15" s="216"/>
      <c r="G15" s="217" t="s">
        <v>1487</v>
      </c>
    </row>
    <row r="16" spans="1:9" s="212" customFormat="1" ht="13.5" hidden="1" customHeight="1">
      <c r="A16" s="225" t="s">
        <v>9</v>
      </c>
      <c r="B16" s="213" t="s">
        <v>1484</v>
      </c>
      <c r="C16" s="218"/>
      <c r="D16" s="845"/>
      <c r="E16" s="216"/>
      <c r="F16" s="216"/>
      <c r="G16" s="217"/>
    </row>
    <row r="17" spans="1:7" s="212" customFormat="1" ht="13.5" hidden="1" customHeight="1">
      <c r="A17" s="225" t="s">
        <v>10</v>
      </c>
      <c r="B17" s="213" t="s">
        <v>1488</v>
      </c>
      <c r="C17" s="227"/>
      <c r="D17" s="846"/>
      <c r="E17" s="227"/>
      <c r="F17" s="227"/>
      <c r="G17" s="217" t="s">
        <v>1487</v>
      </c>
    </row>
    <row r="18" spans="1:7" s="212" customFormat="1" ht="13.5" hidden="1" customHeight="1">
      <c r="A18" s="225" t="s">
        <v>11</v>
      </c>
      <c r="B18" s="213" t="s">
        <v>1489</v>
      </c>
      <c r="C18" s="218">
        <v>0</v>
      </c>
      <c r="D18" s="845"/>
      <c r="E18" s="216"/>
      <c r="F18" s="219">
        <v>3.0499999999999999E-2</v>
      </c>
      <c r="G18" s="217" t="s">
        <v>1490</v>
      </c>
    </row>
    <row r="19" spans="1:7" s="221" customFormat="1" ht="13.5" customHeight="1">
      <c r="A19" s="253" t="s">
        <v>1491</v>
      </c>
      <c r="B19" s="208" t="s">
        <v>1492</v>
      </c>
      <c r="C19" s="209" t="str">
        <f>IF(G19="已包含在土地取得成本中","0",ROUND(D19*E19/10000,0))</f>
        <v>0</v>
      </c>
      <c r="D19" s="847">
        <f ca="1">D9+D10</f>
        <v>204.38</v>
      </c>
      <c r="E19" s="209">
        <f>'数据-取费表'!B31</f>
        <v>150</v>
      </c>
      <c r="F19" s="229"/>
      <c r="G19" s="1853" t="s">
        <v>3385</v>
      </c>
    </row>
    <row r="20" spans="1:7" s="212" customFormat="1" ht="13.5" customHeight="1">
      <c r="A20" s="253" t="s">
        <v>1493</v>
      </c>
      <c r="B20" s="208" t="s">
        <v>1494</v>
      </c>
      <c r="C20" s="230">
        <f ca="1">ROUND((C5+C19)*F20,0)</f>
        <v>104</v>
      </c>
      <c r="D20" s="230"/>
      <c r="E20" s="230"/>
      <c r="F20" s="231">
        <f>'数据-取费表'!B37</f>
        <v>0.03</v>
      </c>
      <c r="G20" s="232" t="s">
        <v>1495</v>
      </c>
    </row>
    <row r="21" spans="1:7" s="212" customFormat="1" ht="13.5" customHeight="1">
      <c r="A21" s="253" t="s">
        <v>1496</v>
      </c>
      <c r="B21" s="208" t="s">
        <v>1497</v>
      </c>
      <c r="C21" s="233">
        <f>F21</f>
        <v>0.03</v>
      </c>
      <c r="D21" s="234" t="s">
        <v>1498</v>
      </c>
      <c r="E21" s="230"/>
      <c r="F21" s="231">
        <f>'数据-取费表'!B38</f>
        <v>0.03</v>
      </c>
      <c r="G21" s="232" t="s">
        <v>1499</v>
      </c>
    </row>
    <row r="22" spans="1:7" s="212" customFormat="1" ht="13.5" customHeight="1">
      <c r="A22" s="253" t="s">
        <v>1500</v>
      </c>
      <c r="B22" s="208" t="s">
        <v>1501</v>
      </c>
      <c r="C22" s="1101">
        <f ca="1">ROUND(SUM(C23:C25),0)</f>
        <v>145</v>
      </c>
      <c r="D22" s="233">
        <f ca="1">C26</f>
        <v>5.9999999999999995E-4</v>
      </c>
      <c r="E22" s="234" t="s">
        <v>1498</v>
      </c>
      <c r="F22" s="235">
        <f ca="1">'数据-取费表'!B40</f>
        <v>4.1499999999999995E-2</v>
      </c>
      <c r="G22" s="232" t="str">
        <f>IF('数据-取费表'!B22&lt;=1,"单利计息","复利计息")</f>
        <v>单利计息</v>
      </c>
    </row>
    <row r="23" spans="1:7" s="212" customFormat="1" ht="13.5" customHeight="1">
      <c r="A23" s="778" t="s">
        <v>1502</v>
      </c>
      <c r="B23" s="213" t="s">
        <v>1503</v>
      </c>
      <c r="C23" s="1102">
        <f ca="1">ROUND(IF('数据-取费表'!B22&lt;=1,C5*F22*'数据-取费表'!B23,C5*(POWER((1+F22),'数据-取费表'!B23)-1)),0)</f>
        <v>143</v>
      </c>
      <c r="D23" s="236"/>
      <c r="E23" s="236"/>
      <c r="F23" s="237"/>
      <c r="G23" s="238" t="s">
        <v>1504</v>
      </c>
    </row>
    <row r="24" spans="1:7" s="212" customFormat="1" ht="13.5" customHeight="1">
      <c r="A24" s="778" t="s">
        <v>1505</v>
      </c>
      <c r="B24" s="213" t="s">
        <v>1506</v>
      </c>
      <c r="C24" s="1102">
        <f ca="1">ROUND(IF('数据-取费表'!B22&lt;=1,C19*F22*('数据-取费表'!B19/2+'数据-取费表'!B21),C19*(POWER((1+F22),('数据-取费表'!B19/2+'数据-取费表'!B21))-1)),0)</f>
        <v>0</v>
      </c>
      <c r="D24" s="236"/>
      <c r="E24" s="236"/>
      <c r="F24" s="237"/>
      <c r="G24" s="238" t="s">
        <v>1507</v>
      </c>
    </row>
    <row r="25" spans="1:7" s="212" customFormat="1" ht="24">
      <c r="A25" s="778" t="s">
        <v>1508</v>
      </c>
      <c r="B25" s="213" t="s">
        <v>1509</v>
      </c>
      <c r="C25" s="1102">
        <f ca="1">ROUND(IF('数据-取费表'!B22&lt;=1,C20*F22*'数据-取费表'!B23/2,C20*(POWER((1+F22),'数据-取费表'!B23/2)-1)),0)</f>
        <v>2</v>
      </c>
      <c r="D25" s="236"/>
      <c r="E25" s="239"/>
      <c r="F25" s="237"/>
      <c r="G25" s="240" t="s">
        <v>1510</v>
      </c>
    </row>
    <row r="26" spans="1:7" s="212" customFormat="1">
      <c r="A26" s="778" t="s">
        <v>350</v>
      </c>
      <c r="B26" s="213" t="s">
        <v>1511</v>
      </c>
      <c r="C26" s="236">
        <f ca="1">ROUND(IF('数据-取费表'!B22&lt;=1,F21*F22*'数据-取费表'!B23/2,F21*(POWER((1+F22),'数据-取费表'!B23/2)-1)),4)</f>
        <v>5.9999999999999995E-4</v>
      </c>
      <c r="D26" s="236"/>
      <c r="E26" s="239"/>
      <c r="F26" s="237"/>
      <c r="G26" s="241"/>
    </row>
    <row r="27" spans="1:7" s="212" customFormat="1" ht="26.4">
      <c r="A27" s="253" t="s">
        <v>1512</v>
      </c>
      <c r="B27" s="242" t="s">
        <v>1513</v>
      </c>
      <c r="C27" s="243">
        <f ca="1">C28</f>
        <v>356</v>
      </c>
      <c r="D27" s="233">
        <f ca="1">C29</f>
        <v>3.0000000000000001E-3</v>
      </c>
      <c r="E27" s="234" t="s">
        <v>1514</v>
      </c>
      <c r="F27" s="244">
        <f ca="1">IF(B1="",'数据-取费表'!Q16,INDIRECT("'数据-取费表'!q"&amp;$G$1))</f>
        <v>0.1</v>
      </c>
      <c r="G27" s="245" t="s">
        <v>1515</v>
      </c>
    </row>
    <row r="28" spans="1:7" s="212" customFormat="1" ht="13.5" customHeight="1">
      <c r="A28" s="778" t="s">
        <v>346</v>
      </c>
      <c r="B28" s="246" t="s">
        <v>1516</v>
      </c>
      <c r="C28" s="247">
        <f ca="1">ROUND((C5+C19+C20)*F27*'数据-取费表'!B21/'数据-取费表'!B20,0)</f>
        <v>356</v>
      </c>
      <c r="D28" s="233"/>
      <c r="E28" s="234"/>
      <c r="F28" s="244"/>
      <c r="G28" s="245"/>
    </row>
    <row r="29" spans="1:7" s="212" customFormat="1" ht="13.5" customHeight="1">
      <c r="A29" s="778" t="s">
        <v>347</v>
      </c>
      <c r="B29" s="246" t="s">
        <v>1517</v>
      </c>
      <c r="C29" s="236">
        <f ca="1">ROUND(C21*F27*'数据-取费表'!B21/'数据-取费表'!B20,4)</f>
        <v>3.0000000000000001E-3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4449</v>
      </c>
      <c r="D31" s="228"/>
      <c r="E31" s="209"/>
      <c r="F31" s="248"/>
      <c r="G31" s="232" t="s">
        <v>1522</v>
      </c>
    </row>
    <row r="32" spans="1:7" s="206" customFormat="1" ht="16.2">
      <c r="A32" s="250" t="s">
        <v>1523</v>
      </c>
      <c r="B32" s="251"/>
      <c r="C32" s="251"/>
      <c r="D32" s="251"/>
      <c r="E32" s="251"/>
      <c r="F32" s="251"/>
      <c r="G32" s="252"/>
    </row>
    <row r="33" spans="1:7" s="212" customFormat="1" ht="13.5" customHeight="1">
      <c r="A33" s="253" t="s">
        <v>337</v>
      </c>
      <c r="B33" s="208" t="s">
        <v>1524</v>
      </c>
      <c r="C33" s="254">
        <f ca="1">SUM(C34:C38)</f>
        <v>216</v>
      </c>
      <c r="D33" s="230"/>
      <c r="E33" s="210"/>
      <c r="F33" s="239"/>
      <c r="G33" s="232"/>
    </row>
    <row r="34" spans="1:7" s="256" customFormat="1" ht="13.5" customHeight="1">
      <c r="A34" s="778" t="s">
        <v>346</v>
      </c>
      <c r="B34" s="213" t="s">
        <v>1525</v>
      </c>
      <c r="C34" s="218">
        <f ca="1">IF(B1="",IF(F34=100%,'数据-取费表'!M16,'数据-取费表'!O16),IF(F34=100%,INDIRECT("'数据-取费表'!m"&amp;$G$1)+INDIRECT("'数据-取费表'!t"&amp;$G$1),INDIRECT("'数据-取费表'!o"&amp;$G$1)+INDIRECT("'数据-取费表'!aq"&amp;$G$1)))</f>
        <v>204</v>
      </c>
      <c r="D34" s="215"/>
      <c r="E34" s="218"/>
      <c r="F34" s="255">
        <f ca="1">IF('数据-取费表'!B24=0,1,IF(B1="",'数据-取费表'!N16,INDIRECT("'数据-取费表'!n"&amp;$G$1)))</f>
        <v>1</v>
      </c>
      <c r="G34" s="217" t="s">
        <v>1526</v>
      </c>
    </row>
    <row r="35" spans="1:7" ht="13.5" customHeight="1">
      <c r="A35" s="778" t="s">
        <v>351</v>
      </c>
      <c r="B35" s="213" t="s">
        <v>1527</v>
      </c>
      <c r="C35" s="218">
        <f ca="1">ROUND(C34*F35,0)</f>
        <v>6</v>
      </c>
      <c r="D35" s="218"/>
      <c r="E35" s="218"/>
      <c r="F35" s="257">
        <f>'数据-取费表'!B33</f>
        <v>0.03</v>
      </c>
      <c r="G35" s="217" t="s">
        <v>1528</v>
      </c>
    </row>
    <row r="36" spans="1:7" ht="24">
      <c r="A36" s="778"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8" t="s">
        <v>353</v>
      </c>
      <c r="B37" s="213" t="s">
        <v>1531</v>
      </c>
      <c r="C37" s="247">
        <f ca="1">ROUND(E37*D37*F34/10000,0)</f>
        <v>3</v>
      </c>
      <c r="D37" s="215">
        <f ca="1">D19</f>
        <v>204.38</v>
      </c>
      <c r="E37" s="247">
        <f>'数据-取费表'!B35</f>
        <v>150</v>
      </c>
      <c r="F37" s="257"/>
      <c r="G37" s="259" t="s">
        <v>1532</v>
      </c>
    </row>
    <row r="38" spans="1:7" ht="13.5" customHeight="1">
      <c r="A38" s="778" t="s">
        <v>354</v>
      </c>
      <c r="B38" s="213" t="s">
        <v>1533</v>
      </c>
      <c r="C38" s="218">
        <f ca="1">ROUND(C34*F38,0)</f>
        <v>3</v>
      </c>
      <c r="D38" s="218"/>
      <c r="E38" s="218"/>
      <c r="F38" s="257">
        <f>'数据-取费表'!B36</f>
        <v>1.4999999999999999E-2</v>
      </c>
      <c r="G38" s="217" t="s">
        <v>1528</v>
      </c>
    </row>
    <row r="39" spans="1:7" s="212" customFormat="1" ht="13.5" customHeight="1">
      <c r="A39" s="253" t="s">
        <v>1534</v>
      </c>
      <c r="B39" s="208" t="s">
        <v>1535</v>
      </c>
      <c r="C39" s="230">
        <f ca="1">ROUND(C33*F20,0)</f>
        <v>6</v>
      </c>
      <c r="D39" s="230"/>
      <c r="E39" s="230"/>
      <c r="F39" s="231">
        <f>F20</f>
        <v>0.03</v>
      </c>
      <c r="G39" s="232" t="s">
        <v>1536</v>
      </c>
    </row>
    <row r="40" spans="1:7" s="212" customFormat="1" ht="13.5" customHeight="1">
      <c r="A40" s="253" t="s">
        <v>1537</v>
      </c>
      <c r="B40" s="208" t="s">
        <v>1538</v>
      </c>
      <c r="C40" s="1324">
        <f>F21</f>
        <v>0.03</v>
      </c>
      <c r="D40" s="234" t="s">
        <v>1539</v>
      </c>
      <c r="E40" s="230"/>
      <c r="F40" s="231">
        <f>F21</f>
        <v>0.03</v>
      </c>
      <c r="G40" s="232" t="s">
        <v>1540</v>
      </c>
    </row>
    <row r="41" spans="1:7" s="212" customFormat="1" ht="13.5" customHeight="1">
      <c r="A41" s="253" t="s">
        <v>1541</v>
      </c>
      <c r="B41" s="208" t="s">
        <v>1542</v>
      </c>
      <c r="C41" s="230">
        <f ca="1">ROUND(SUM(C42:C43),0)</f>
        <v>4</v>
      </c>
      <c r="D41" s="233">
        <f ca="1">C44</f>
        <v>5.9999999999999995E-4</v>
      </c>
      <c r="E41" s="234" t="s">
        <v>1539</v>
      </c>
      <c r="F41" s="235">
        <f ca="1">F22</f>
        <v>4.1499999999999995E-2</v>
      </c>
      <c r="G41" s="232" t="str">
        <f>IF('数据-取费表'!B22&lt;=1,"单利计息","复利计息")</f>
        <v>单利计息</v>
      </c>
    </row>
    <row r="42" spans="1:7" ht="13.5" customHeight="1">
      <c r="A42" s="778" t="s">
        <v>346</v>
      </c>
      <c r="B42" s="213" t="s">
        <v>1543</v>
      </c>
      <c r="C42" s="236">
        <f ca="1">ROUND(IF('数据-取费表'!B22&lt;=1,C33*F22*'数据-取费表'!B21/2,C33*(POWER((1+F22),'数据-取费表'!B21/2)-1)),0)</f>
        <v>4</v>
      </c>
      <c r="D42" s="236"/>
      <c r="E42" s="236"/>
      <c r="F42" s="237"/>
      <c r="G42" s="3643" t="s">
        <v>1544</v>
      </c>
    </row>
    <row r="43" spans="1:7" ht="13.5" customHeight="1">
      <c r="A43" s="778" t="s">
        <v>347</v>
      </c>
      <c r="B43" s="213" t="s">
        <v>1545</v>
      </c>
      <c r="C43" s="236">
        <f ca="1">ROUND(IF('数据-取费表'!B22&lt;=1,C39*F22*'数据-取费表'!B21/2,C39*(POWER((1+F22),'数据-取费表'!B21/2)-1)),0)</f>
        <v>0</v>
      </c>
      <c r="D43" s="236"/>
      <c r="E43" s="236"/>
      <c r="F43" s="237"/>
      <c r="G43" s="3644"/>
    </row>
    <row r="44" spans="1:7" ht="13.5" customHeight="1">
      <c r="A44" s="778" t="s">
        <v>348</v>
      </c>
      <c r="B44" s="213" t="s">
        <v>1546</v>
      </c>
      <c r="C44" s="236">
        <f ca="1">ROUND(IF('数据-取费表'!B22&lt;=1,C40*F22*'数据-取费表'!B21/2,C40*(POWER((1+F22),'数据-取费表'!B21/2)-1)),4)</f>
        <v>5.9999999999999995E-4</v>
      </c>
      <c r="D44" s="236"/>
      <c r="E44" s="236"/>
      <c r="F44" s="237"/>
      <c r="G44" s="3645"/>
    </row>
    <row r="45" spans="1:7" s="212" customFormat="1" ht="13.5" customHeight="1">
      <c r="A45" s="253" t="s">
        <v>1547</v>
      </c>
      <c r="B45" s="242" t="s">
        <v>1513</v>
      </c>
      <c r="C45" s="243">
        <f ca="1">C46</f>
        <v>22</v>
      </c>
      <c r="D45" s="233">
        <f ca="1">C47</f>
        <v>3.0000000000000001E-3</v>
      </c>
      <c r="E45" s="234" t="s">
        <v>1539</v>
      </c>
      <c r="F45" s="244">
        <f ca="1">F27</f>
        <v>0.1</v>
      </c>
      <c r="G45" s="245" t="s">
        <v>1548</v>
      </c>
    </row>
    <row r="46" spans="1:7" s="212" customFormat="1" ht="13.5" customHeight="1">
      <c r="A46" s="778" t="s">
        <v>346</v>
      </c>
      <c r="B46" s="246" t="s">
        <v>1549</v>
      </c>
      <c r="C46" s="247">
        <f ca="1">ROUND((C33+C39)*F27,0)</f>
        <v>22</v>
      </c>
      <c r="D46" s="261"/>
      <c r="E46" s="234"/>
      <c r="F46" s="244"/>
      <c r="G46" s="245"/>
    </row>
    <row r="47" spans="1:7" s="212" customFormat="1" ht="13.5" customHeight="1">
      <c r="A47" s="778" t="s">
        <v>347</v>
      </c>
      <c r="B47" s="246" t="s">
        <v>1550</v>
      </c>
      <c r="C47" s="236">
        <f ca="1">ROUND(C40*F27,4)</f>
        <v>3.0000000000000001E-3</v>
      </c>
      <c r="D47" s="261"/>
      <c r="E47" s="234"/>
      <c r="F47" s="244"/>
      <c r="G47" s="245"/>
    </row>
    <row r="48" spans="1:7" s="212" customFormat="1" ht="13.5" customHeight="1">
      <c r="A48" s="253" t="s">
        <v>1512</v>
      </c>
      <c r="B48" s="208" t="s">
        <v>1551</v>
      </c>
      <c r="C48" s="1324">
        <f>ROUND(F30/(1+'数据-取费表'!C42),4)</f>
        <v>5.33E-2</v>
      </c>
      <c r="D48" s="234" t="s">
        <v>1539</v>
      </c>
      <c r="E48" s="230"/>
      <c r="F48" s="235">
        <f>F30</f>
        <v>5.6000000000000001E-2</v>
      </c>
      <c r="G48" s="232" t="s">
        <v>1552</v>
      </c>
    </row>
    <row r="49" spans="1:7" ht="16.5" customHeight="1">
      <c r="A49" s="253" t="s">
        <v>1518</v>
      </c>
      <c r="B49" s="208" t="s">
        <v>1553</v>
      </c>
      <c r="C49" s="230">
        <f ca="1">ROUND((C33+C39+C41+C45)/(1-C40-D41-D45-C48),0)</f>
        <v>272</v>
      </c>
      <c r="D49" s="230"/>
      <c r="E49" s="230"/>
      <c r="F49" s="262"/>
      <c r="G49" s="232" t="s">
        <v>1554</v>
      </c>
    </row>
    <row r="50" spans="1:7" s="256" customFormat="1" ht="24">
      <c r="A50" s="253" t="s">
        <v>1555</v>
      </c>
      <c r="B50" s="208" t="s">
        <v>1556</v>
      </c>
      <c r="C50" s="230"/>
      <c r="D50" s="230"/>
      <c r="E50" s="230"/>
      <c r="F50" s="262">
        <f>IF('数据-取费表'!B24=0,'数据-取费表'!N16,1)</f>
        <v>0.66</v>
      </c>
      <c r="G50" s="245" t="s">
        <v>1557</v>
      </c>
    </row>
    <row r="51" spans="1:7" ht="16.5" customHeight="1">
      <c r="A51" s="253" t="s">
        <v>1558</v>
      </c>
      <c r="B51" s="208" t="s">
        <v>1559</v>
      </c>
      <c r="C51" s="230">
        <f ca="1">ROUND(C49*F50,0)</f>
        <v>180</v>
      </c>
      <c r="D51" s="230"/>
      <c r="E51" s="230"/>
      <c r="F51" s="262"/>
      <c r="G51" s="232" t="s">
        <v>1560</v>
      </c>
    </row>
    <row r="52" spans="1:7" s="206" customFormat="1" ht="16.8" thickBot="1">
      <c r="A52" s="263" t="s">
        <v>1561</v>
      </c>
      <c r="B52" s="264"/>
      <c r="C52" s="265">
        <f ca="1">C31+C51</f>
        <v>4629</v>
      </c>
      <c r="D52" s="264"/>
      <c r="E52" s="264"/>
      <c r="F52" s="264"/>
      <c r="G52" s="266"/>
    </row>
    <row r="55" spans="1:7" ht="15">
      <c r="B55" s="268" t="s">
        <v>1562</v>
      </c>
      <c r="C55" s="269"/>
    </row>
    <row r="56" spans="1:7">
      <c r="B56" s="271" t="s">
        <v>802</v>
      </c>
      <c r="C56" s="273">
        <f ca="1">1-C57</f>
        <v>0.96099999999999997</v>
      </c>
    </row>
    <row r="57" spans="1:7">
      <c r="B57" s="271" t="s">
        <v>803</v>
      </c>
      <c r="C57" s="272">
        <f ca="1">ROUND(C51/C52,3)</f>
        <v>3.9E-2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1" customWidth="1"/>
    <col min="2" max="9" width="10" style="841" customWidth="1"/>
    <col min="10" max="16384" width="9" style="841"/>
  </cols>
  <sheetData>
    <row r="36" spans="1:9">
      <c r="A36" s="840" t="s">
        <v>371</v>
      </c>
      <c r="B36" s="840" t="s">
        <v>372</v>
      </c>
    </row>
    <row r="37" spans="1:9" ht="27.75" customHeight="1">
      <c r="A37" s="840"/>
      <c r="B37" s="3460" t="str">
        <f>项目基本情况!B1</f>
        <v>北京市房地产抵押价值预评估</v>
      </c>
      <c r="C37" s="3460"/>
      <c r="D37" s="3460"/>
      <c r="E37" s="3460"/>
      <c r="F37" s="3460"/>
      <c r="G37" s="3460"/>
      <c r="H37" s="3460"/>
      <c r="I37" s="3460"/>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c r="B46" s="1471" t="str">
        <f>项目基本情况!K4</f>
        <v>（注册号：0)、（注册号：0)</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7" customWidth="1"/>
    <col min="2" max="2" width="29.21875" style="249" customWidth="1"/>
    <col min="3" max="3" width="12.109375" style="249" customWidth="1"/>
    <col min="4" max="5" width="11.21875" style="270" customWidth="1"/>
    <col min="6" max="6" width="9.44140625" style="249" customWidth="1"/>
    <col min="7" max="7" width="31.88671875" style="249" customWidth="1"/>
    <col min="8" max="8" width="10.77734375" style="249" customWidth="1"/>
    <col min="9" max="254" width="9" style="249" customWidth="1"/>
    <col min="255" max="16384" width="8.33203125" style="249"/>
  </cols>
  <sheetData>
    <row r="1" spans="1:8" s="198" customFormat="1" ht="21">
      <c r="A1" s="194" t="s">
        <v>1461</v>
      </c>
      <c r="B1" s="1467"/>
      <c r="C1" s="1856" t="s">
        <v>1563</v>
      </c>
      <c r="D1" s="196"/>
      <c r="E1" s="196"/>
      <c r="F1" s="196"/>
      <c r="G1" s="1123">
        <f>MATCH(B1,'数据-取费表'!A6:A16,0)+5</f>
        <v>7</v>
      </c>
      <c r="H1" s="1058" t="str">
        <f>IF(ISERROR(FIND("住宅",B1)),"非住宅","住宅")</f>
        <v>非住宅</v>
      </c>
    </row>
    <row r="2" spans="1:8" s="198" customFormat="1" ht="18" customHeight="1">
      <c r="A2" s="199" t="s">
        <v>1462</v>
      </c>
      <c r="B2" s="3423">
        <f ca="1">ROUND(IF(D2="——",C52/10000,C52/10000-E2),4)</f>
        <v>4630.0595000000003</v>
      </c>
      <c r="C2" s="197" t="s">
        <v>1463</v>
      </c>
      <c r="D2" s="1850" t="s">
        <v>43</v>
      </c>
      <c r="E2" s="1166" t="e">
        <f ca="1">SUMIF(INDIRECT("'"&amp;G2&amp;"'"&amp;"!A:A"),"承租人权益价值",INDIRECT("'"&amp;G2&amp;"'"&amp;"!c:c"))</f>
        <v>#REF!</v>
      </c>
      <c r="F2" s="1851" t="s">
        <v>1463</v>
      </c>
      <c r="G2" s="1852"/>
    </row>
    <row r="3" spans="1:8" s="198" customFormat="1" ht="18" customHeight="1" thickBot="1">
      <c r="A3" s="201" t="s">
        <v>1464</v>
      </c>
      <c r="B3" s="202">
        <f ca="1">ROUND(B2*10000/(IF(B1="",'数据-汇总表'!E3,INDIRECT("'数据-取费表'!k"&amp;$G$1))),0)</f>
        <v>226542</v>
      </c>
      <c r="C3" s="197" t="s">
        <v>1465</v>
      </c>
      <c r="D3" s="197"/>
      <c r="E3" s="197"/>
      <c r="F3" s="197"/>
      <c r="G3" s="197"/>
    </row>
    <row r="4" spans="1:8" s="206" customFormat="1" ht="16.2">
      <c r="A4" s="203" t="s">
        <v>1466</v>
      </c>
      <c r="B4" s="204"/>
      <c r="C4" s="204"/>
      <c r="D4" s="204"/>
      <c r="E4" s="204"/>
      <c r="F4" s="204"/>
      <c r="G4" s="205"/>
    </row>
    <row r="5" spans="1:8" s="212" customFormat="1" ht="13.5" customHeight="1">
      <c r="A5" s="253" t="s">
        <v>1467</v>
      </c>
      <c r="B5" s="208" t="s">
        <v>1468</v>
      </c>
      <c r="C5" s="209">
        <f ca="1">C6+C7+C8</f>
        <v>34572143</v>
      </c>
      <c r="D5" s="209" t="s">
        <v>1469</v>
      </c>
      <c r="E5" s="210" t="s">
        <v>1470</v>
      </c>
      <c r="F5" s="210" t="s">
        <v>1471</v>
      </c>
      <c r="G5" s="211"/>
    </row>
    <row r="6" spans="1:8" s="212" customFormat="1" ht="13.5" customHeight="1">
      <c r="A6" s="776" t="s">
        <v>1472</v>
      </c>
      <c r="B6" s="213" t="s">
        <v>1473</v>
      </c>
      <c r="C6" s="214">
        <f>ROUND(基准地价修正!C33*基准地价修正!D33,0)</f>
        <v>33509235</v>
      </c>
      <c r="D6" s="215"/>
      <c r="E6" s="216"/>
      <c r="F6" s="216"/>
      <c r="G6" s="217"/>
    </row>
    <row r="7" spans="1:8" s="212" customFormat="1" ht="13.5" customHeight="1">
      <c r="A7" s="776" t="s">
        <v>1474</v>
      </c>
      <c r="B7" s="213" t="s">
        <v>1475</v>
      </c>
      <c r="C7" s="218">
        <f>ROUND(C6*F7,0)</f>
        <v>1022032</v>
      </c>
      <c r="D7" s="218"/>
      <c r="E7" s="216"/>
      <c r="F7" s="219">
        <f>IF(项目基本情况!B8="出让",0,'数据-取费表'!B48+'数据-取费表'!B49)</f>
        <v>3.0499999999999999E-2</v>
      </c>
      <c r="G7" s="217"/>
    </row>
    <row r="8" spans="1:8" s="221" customFormat="1">
      <c r="A8" s="776" t="s">
        <v>1476</v>
      </c>
      <c r="B8" s="213" t="s">
        <v>1477</v>
      </c>
      <c r="C8" s="218">
        <f ca="1">IF(G8="已包含在土地购买价格中",0,C9+C10)</f>
        <v>40876</v>
      </c>
      <c r="D8" s="220"/>
      <c r="E8" s="218"/>
      <c r="F8" s="219"/>
      <c r="G8" s="1853" t="s">
        <v>3384</v>
      </c>
    </row>
    <row r="9" spans="1:8" s="212" customFormat="1" ht="13.5" customHeight="1">
      <c r="A9" s="777" t="s">
        <v>355</v>
      </c>
      <c r="B9" s="222" t="s">
        <v>1478</v>
      </c>
      <c r="C9" s="223">
        <f ca="1">ROUND(D9*E9,0)</f>
        <v>0</v>
      </c>
      <c r="D9" s="843">
        <f ca="1">IF(B1="",'数据-汇总表'!E5,IF(INDIRECT("'数据-取费表'!c"&amp;$G$1)="住宅",INDIRECT("'数据-取费表'!k"&amp;$G$1),0))</f>
        <v>0</v>
      </c>
      <c r="E9" s="223">
        <f>'数据-取费表'!B27</f>
        <v>0</v>
      </c>
      <c r="F9" s="219"/>
      <c r="G9" s="224"/>
    </row>
    <row r="10" spans="1:8" s="212" customFormat="1" ht="13.5" customHeight="1">
      <c r="A10" s="777" t="s">
        <v>356</v>
      </c>
      <c r="B10" s="222" t="s">
        <v>1480</v>
      </c>
      <c r="C10" s="223">
        <f ca="1">ROUND(D10*E10,0)</f>
        <v>40876</v>
      </c>
      <c r="D10" s="843">
        <f ca="1">IF(B1="",'数据-汇总表'!E6,IF(INDIRECT("'数据-取费表'!c"&amp;$G$1)="住宅",INDIRECT("'数据-取费表'!s"&amp;$G$1),INDIRECT("'数据-取费表'!k"&amp;$G$1)+INDIRECT("'数据-取费表'!s"&amp;$G$1)))</f>
        <v>204.38</v>
      </c>
      <c r="E10" s="223">
        <f>'数据-取费表'!B28</f>
        <v>200</v>
      </c>
      <c r="F10" s="219"/>
      <c r="G10" s="224"/>
    </row>
    <row r="11" spans="1:8" s="212" customFormat="1" ht="13.5" hidden="1" customHeight="1">
      <c r="A11" s="225" t="s">
        <v>4</v>
      </c>
      <c r="B11" s="213" t="s">
        <v>1481</v>
      </c>
      <c r="C11" s="209"/>
      <c r="D11" s="845"/>
      <c r="E11" s="216"/>
      <c r="F11" s="216"/>
      <c r="G11" s="217"/>
    </row>
    <row r="12" spans="1:8" s="212" customFormat="1" ht="13.5" hidden="1" customHeight="1">
      <c r="A12" s="225" t="s">
        <v>5</v>
      </c>
      <c r="B12" s="213" t="s">
        <v>1564</v>
      </c>
      <c r="C12" s="209">
        <v>0</v>
      </c>
      <c r="D12" s="845"/>
      <c r="E12" s="226"/>
      <c r="F12" s="219">
        <v>3.0499999999999999E-2</v>
      </c>
      <c r="G12" s="217"/>
    </row>
    <row r="13" spans="1:8" s="212" customFormat="1" ht="13.5" hidden="1" customHeight="1">
      <c r="A13" s="225" t="s">
        <v>6</v>
      </c>
      <c r="B13" s="213" t="s">
        <v>1565</v>
      </c>
      <c r="C13" s="209"/>
      <c r="D13" s="845"/>
      <c r="E13" s="216"/>
      <c r="F13" s="216"/>
      <c r="G13" s="217"/>
    </row>
    <row r="14" spans="1:8" s="212" customFormat="1" ht="13.5" hidden="1" customHeight="1">
      <c r="A14" s="225" t="s">
        <v>7</v>
      </c>
      <c r="B14" s="213" t="s">
        <v>1477</v>
      </c>
      <c r="C14" s="209"/>
      <c r="D14" s="845"/>
      <c r="E14" s="216"/>
      <c r="F14" s="216"/>
      <c r="G14" s="217" t="s">
        <v>1566</v>
      </c>
    </row>
    <row r="15" spans="1:8" s="212" customFormat="1" ht="13.5" hidden="1" customHeight="1">
      <c r="A15" s="225" t="s">
        <v>8</v>
      </c>
      <c r="B15" s="213" t="s">
        <v>1567</v>
      </c>
      <c r="C15" s="218"/>
      <c r="D15" s="845"/>
      <c r="E15" s="216"/>
      <c r="F15" s="216"/>
      <c r="G15" s="217" t="s">
        <v>1568</v>
      </c>
    </row>
    <row r="16" spans="1:8" s="212" customFormat="1" ht="13.5" hidden="1" customHeight="1">
      <c r="A16" s="225" t="s">
        <v>9</v>
      </c>
      <c r="B16" s="213" t="s">
        <v>1477</v>
      </c>
      <c r="C16" s="218"/>
      <c r="D16" s="845"/>
      <c r="E16" s="216"/>
      <c r="F16" s="216"/>
      <c r="G16" s="217"/>
    </row>
    <row r="17" spans="1:7" s="212" customFormat="1" ht="13.5" hidden="1" customHeight="1">
      <c r="A17" s="225" t="s">
        <v>10</v>
      </c>
      <c r="B17" s="213" t="s">
        <v>1569</v>
      </c>
      <c r="C17" s="227"/>
      <c r="D17" s="846"/>
      <c r="E17" s="227"/>
      <c r="F17" s="227"/>
      <c r="G17" s="217" t="s">
        <v>1568</v>
      </c>
    </row>
    <row r="18" spans="1:7" s="212" customFormat="1" ht="13.5" hidden="1" customHeight="1">
      <c r="A18" s="225" t="s">
        <v>11</v>
      </c>
      <c r="B18" s="213" t="s">
        <v>1570</v>
      </c>
      <c r="C18" s="218">
        <v>0</v>
      </c>
      <c r="D18" s="845"/>
      <c r="E18" s="216"/>
      <c r="F18" s="219">
        <v>3.0499999999999999E-2</v>
      </c>
      <c r="G18" s="217" t="s">
        <v>1571</v>
      </c>
    </row>
    <row r="19" spans="1:7" s="221" customFormat="1" ht="13.5" customHeight="1">
      <c r="A19" s="253" t="s">
        <v>1572</v>
      </c>
      <c r="B19" s="208" t="s">
        <v>1573</v>
      </c>
      <c r="C19" s="209" t="str">
        <f>IF(G19="已包含在土地取得成本中","0",ROUND(D19*E19,0))</f>
        <v>0</v>
      </c>
      <c r="D19" s="847">
        <f ca="1">D9+D10</f>
        <v>204.38</v>
      </c>
      <c r="E19" s="209">
        <f>'数据-取费表'!B31</f>
        <v>150</v>
      </c>
      <c r="F19" s="229"/>
      <c r="G19" s="1853" t="s">
        <v>3385</v>
      </c>
    </row>
    <row r="20" spans="1:7" s="212" customFormat="1" ht="13.5" customHeight="1">
      <c r="A20" s="253" t="s">
        <v>1574</v>
      </c>
      <c r="B20" s="208" t="s">
        <v>1575</v>
      </c>
      <c r="C20" s="230">
        <f ca="1">ROUND((C5+C19)*F20,0)</f>
        <v>1037164</v>
      </c>
      <c r="D20" s="230"/>
      <c r="E20" s="230"/>
      <c r="F20" s="231">
        <f>'数据-取费表'!B37</f>
        <v>0.03</v>
      </c>
      <c r="G20" s="232" t="s">
        <v>1576</v>
      </c>
    </row>
    <row r="21" spans="1:7" s="212" customFormat="1" ht="13.5" customHeight="1">
      <c r="A21" s="253" t="s">
        <v>1577</v>
      </c>
      <c r="B21" s="208" t="s">
        <v>1578</v>
      </c>
      <c r="C21" s="233">
        <f>F21</f>
        <v>0.03</v>
      </c>
      <c r="D21" s="234" t="s">
        <v>1579</v>
      </c>
      <c r="E21" s="230"/>
      <c r="F21" s="231">
        <f>'数据-取费表'!B38</f>
        <v>0.03</v>
      </c>
      <c r="G21" s="232" t="s">
        <v>1580</v>
      </c>
    </row>
    <row r="22" spans="1:7" s="212" customFormat="1" ht="13.5" customHeight="1">
      <c r="A22" s="253" t="s">
        <v>1581</v>
      </c>
      <c r="B22" s="208" t="s">
        <v>1582</v>
      </c>
      <c r="C22" s="1124">
        <f ca="1">ROUND(SUM(C23:C25),0)</f>
        <v>1456265</v>
      </c>
      <c r="D22" s="233">
        <f ca="1">C26</f>
        <v>5.9999999999999995E-4</v>
      </c>
      <c r="E22" s="234" t="s">
        <v>1579</v>
      </c>
      <c r="F22" s="235">
        <f ca="1">'数据-取费表'!B40</f>
        <v>4.1499999999999995E-2</v>
      </c>
      <c r="G22" s="232" t="str">
        <f>IF('数据-取费表'!B22&lt;=1,"单利计息","复利计息")</f>
        <v>单利计息</v>
      </c>
    </row>
    <row r="23" spans="1:7" s="212" customFormat="1" ht="13.5" customHeight="1">
      <c r="A23" s="778" t="s">
        <v>1472</v>
      </c>
      <c r="B23" s="213" t="s">
        <v>1583</v>
      </c>
      <c r="C23" s="1125">
        <f ca="1">ROUND(IF('数据-取费表'!B22&lt;=1,C5*F22*'数据-取费表'!B22,C5*(POWER((1+F22),'数据-取费表'!B22)-1)),0)</f>
        <v>1434744</v>
      </c>
      <c r="D23" s="236"/>
      <c r="E23" s="236"/>
      <c r="F23" s="237"/>
      <c r="G23" s="238" t="s">
        <v>1584</v>
      </c>
    </row>
    <row r="24" spans="1:7" s="212" customFormat="1" ht="13.5" customHeight="1">
      <c r="A24" s="778" t="s">
        <v>1474</v>
      </c>
      <c r="B24" s="213" t="s">
        <v>1585</v>
      </c>
      <c r="C24" s="1125">
        <f ca="1">ROUND(IF('数据-取费表'!B22&lt;=1,C19*F22*('数据-取费表'!B19/2+'数据-取费表'!B20),C19*(POWER((1+F22),('数据-取费表'!B19/2+'数据-取费表'!B20))-1)),0)</f>
        <v>0</v>
      </c>
      <c r="D24" s="236"/>
      <c r="E24" s="236"/>
      <c r="F24" s="237"/>
      <c r="G24" s="238" t="s">
        <v>1586</v>
      </c>
    </row>
    <row r="25" spans="1:7" s="212" customFormat="1" ht="24">
      <c r="A25" s="778" t="s">
        <v>1476</v>
      </c>
      <c r="B25" s="213" t="s">
        <v>1587</v>
      </c>
      <c r="C25" s="1125">
        <f ca="1">ROUND(IF('数据-取费表'!B22&lt;=1,C20*F22*'数据-取费表'!B22/2,C20*(POWER((1+F22),'数据-取费表'!B22/2)-1)),0)</f>
        <v>21521</v>
      </c>
      <c r="D25" s="236"/>
      <c r="E25" s="239"/>
      <c r="F25" s="237"/>
      <c r="G25" s="240" t="s">
        <v>1588</v>
      </c>
    </row>
    <row r="26" spans="1:7" s="212" customFormat="1">
      <c r="A26" s="778" t="s">
        <v>350</v>
      </c>
      <c r="B26" s="213" t="s">
        <v>1511</v>
      </c>
      <c r="C26" s="236">
        <f ca="1">ROUND(IF('数据-取费表'!B22&lt;=1,F21*F22*'数据-取费表'!B22/2,F21*(POWER((1+F22),'数据-取费表'!B22/2)-1)),4)</f>
        <v>5.9999999999999995E-4</v>
      </c>
      <c r="D26" s="236"/>
      <c r="E26" s="239"/>
      <c r="F26" s="237"/>
      <c r="G26" s="241"/>
    </row>
    <row r="27" spans="1:7" s="212" customFormat="1" ht="26.4">
      <c r="A27" s="253" t="s">
        <v>1512</v>
      </c>
      <c r="B27" s="242" t="s">
        <v>1513</v>
      </c>
      <c r="C27" s="243">
        <f ca="1">C28</f>
        <v>3560931</v>
      </c>
      <c r="D27" s="233">
        <f ca="1">C29</f>
        <v>3.0000000000000001E-3</v>
      </c>
      <c r="E27" s="234" t="s">
        <v>1514</v>
      </c>
      <c r="F27" s="244">
        <f ca="1">IF(B1="",'数据-取费表'!Q16,INDIRECT("'数据-取费表'!q"&amp;$G$1))</f>
        <v>0.1</v>
      </c>
      <c r="G27" s="245" t="s">
        <v>1515</v>
      </c>
    </row>
    <row r="28" spans="1:7" s="212" customFormat="1" ht="13.5" customHeight="1">
      <c r="A28" s="778" t="s">
        <v>346</v>
      </c>
      <c r="B28" s="246" t="s">
        <v>1516</v>
      </c>
      <c r="C28" s="247">
        <f ca="1">ROUND((C5+C19+C20)*F27,0)</f>
        <v>3560931</v>
      </c>
      <c r="D28" s="233"/>
      <c r="E28" s="234"/>
      <c r="F28" s="244"/>
      <c r="G28" s="245"/>
    </row>
    <row r="29" spans="1:7" s="212" customFormat="1" ht="13.5" customHeight="1">
      <c r="A29" s="778" t="s">
        <v>347</v>
      </c>
      <c r="B29" s="246" t="s">
        <v>1517</v>
      </c>
      <c r="C29" s="236">
        <f ca="1">ROUND(C21*F27,4)</f>
        <v>3.0000000000000001E-3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44492939</v>
      </c>
      <c r="D31" s="228"/>
      <c r="E31" s="209"/>
      <c r="F31" s="248"/>
      <c r="G31" s="232" t="s">
        <v>1522</v>
      </c>
    </row>
    <row r="32" spans="1:7" s="206" customFormat="1" ht="16.2">
      <c r="A32" s="250" t="s">
        <v>1589</v>
      </c>
      <c r="B32" s="251"/>
      <c r="C32" s="251"/>
      <c r="D32" s="251"/>
      <c r="E32" s="251"/>
      <c r="F32" s="251"/>
      <c r="G32" s="252"/>
    </row>
    <row r="33" spans="1:7" s="212" customFormat="1" ht="13.5" customHeight="1">
      <c r="A33" s="253" t="s">
        <v>337</v>
      </c>
      <c r="B33" s="208" t="s">
        <v>1590</v>
      </c>
      <c r="C33" s="254">
        <f ca="1">SUM(C34:C38)</f>
        <v>2166428</v>
      </c>
      <c r="D33" s="230"/>
      <c r="E33" s="210"/>
      <c r="F33" s="239"/>
      <c r="G33" s="232"/>
    </row>
    <row r="34" spans="1:7" s="256" customFormat="1" ht="13.5" customHeight="1">
      <c r="A34" s="778" t="s">
        <v>346</v>
      </c>
      <c r="B34" s="213" t="s">
        <v>1525</v>
      </c>
      <c r="C34" s="218">
        <f ca="1">ROUND(IF(B1="",SUMPRODUCT('数据-取费表'!K6:K14,'数据-取费表'!L6:L14),INDIRECT("'数据-取费表'!l"&amp;$G$1)*INDIRECT("'数据-取费表'!k"&amp;$G$1)+'数据-取费表'!L14*INDIRECT("'数据-取费表'!S"&amp;$G$1)),0)</f>
        <v>2043800</v>
      </c>
      <c r="D34" s="215"/>
      <c r="E34" s="218"/>
      <c r="F34" s="255"/>
      <c r="G34" s="217"/>
    </row>
    <row r="35" spans="1:7" ht="13.5" customHeight="1">
      <c r="A35" s="778" t="s">
        <v>351</v>
      </c>
      <c r="B35" s="213" t="s">
        <v>1527</v>
      </c>
      <c r="C35" s="218">
        <f ca="1">ROUND(C34*F35,0)</f>
        <v>61314</v>
      </c>
      <c r="D35" s="218"/>
      <c r="E35" s="218"/>
      <c r="F35" s="257">
        <f>'数据-取费表'!B33</f>
        <v>0.03</v>
      </c>
      <c r="G35" s="217" t="s">
        <v>1528</v>
      </c>
    </row>
    <row r="36" spans="1:7" ht="24">
      <c r="A36" s="778"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8" t="s">
        <v>353</v>
      </c>
      <c r="B37" s="213" t="s">
        <v>1531</v>
      </c>
      <c r="C37" s="247">
        <f ca="1">ROUND(E37*D37,0)</f>
        <v>30657</v>
      </c>
      <c r="D37" s="215">
        <f ca="1">D19</f>
        <v>204.38</v>
      </c>
      <c r="E37" s="247">
        <f>'数据-取费表'!B35</f>
        <v>150</v>
      </c>
      <c r="F37" s="257"/>
      <c r="G37" s="259"/>
    </row>
    <row r="38" spans="1:7" ht="13.5" customHeight="1">
      <c r="A38" s="778" t="s">
        <v>354</v>
      </c>
      <c r="B38" s="213" t="s">
        <v>1533</v>
      </c>
      <c r="C38" s="218">
        <f ca="1">ROUND(C34*F38,0)</f>
        <v>30657</v>
      </c>
      <c r="D38" s="218"/>
      <c r="E38" s="218"/>
      <c r="F38" s="257">
        <f>'数据-取费表'!B36</f>
        <v>1.4999999999999999E-2</v>
      </c>
      <c r="G38" s="217" t="s">
        <v>1528</v>
      </c>
    </row>
    <row r="39" spans="1:7" s="212" customFormat="1" ht="13.5" customHeight="1">
      <c r="A39" s="253" t="s">
        <v>1534</v>
      </c>
      <c r="B39" s="208" t="s">
        <v>1535</v>
      </c>
      <c r="C39" s="230">
        <f ca="1">ROUND(C33*F20,0)</f>
        <v>64993</v>
      </c>
      <c r="D39" s="230"/>
      <c r="E39" s="230"/>
      <c r="F39" s="231">
        <f>F20</f>
        <v>0.03</v>
      </c>
      <c r="G39" s="232" t="s">
        <v>1536</v>
      </c>
    </row>
    <row r="40" spans="1:7" s="212" customFormat="1" ht="13.5" customHeight="1">
      <c r="A40" s="253" t="s">
        <v>1537</v>
      </c>
      <c r="B40" s="208" t="s">
        <v>1538</v>
      </c>
      <c r="C40" s="1324">
        <f>F21</f>
        <v>0.03</v>
      </c>
      <c r="D40" s="234" t="s">
        <v>1539</v>
      </c>
      <c r="E40" s="230"/>
      <c r="F40" s="231">
        <f>F21</f>
        <v>0.03</v>
      </c>
      <c r="G40" s="232" t="s">
        <v>1540</v>
      </c>
    </row>
    <row r="41" spans="1:7" s="212" customFormat="1" ht="13.5" customHeight="1">
      <c r="A41" s="253" t="s">
        <v>1541</v>
      </c>
      <c r="B41" s="208" t="s">
        <v>1542</v>
      </c>
      <c r="C41" s="230">
        <f ca="1">ROUND(SUM(C42:C43),0)</f>
        <v>46302</v>
      </c>
      <c r="D41" s="233">
        <f ca="1">C44</f>
        <v>5.9999999999999995E-4</v>
      </c>
      <c r="E41" s="234" t="s">
        <v>1539</v>
      </c>
      <c r="F41" s="235">
        <f ca="1">F22</f>
        <v>4.1499999999999995E-2</v>
      </c>
      <c r="G41" s="232" t="str">
        <f>IF('数据-取费表'!B22&lt;=1,"单利计息","复利计息")</f>
        <v>单利计息</v>
      </c>
    </row>
    <row r="42" spans="1:7" ht="13.5" customHeight="1">
      <c r="A42" s="778" t="s">
        <v>346</v>
      </c>
      <c r="B42" s="213" t="s">
        <v>1543</v>
      </c>
      <c r="C42" s="236">
        <f ca="1">ROUND(IF('数据-取费表'!B22&lt;=1,C33*F22*'数据-取费表'!B20/2,C33*(POWER((1+F22),'数据-取费表'!B20/2)-1)),0)</f>
        <v>44953</v>
      </c>
      <c r="D42" s="236"/>
      <c r="E42" s="236"/>
      <c r="F42" s="237"/>
      <c r="G42" s="3643" t="s">
        <v>1591</v>
      </c>
    </row>
    <row r="43" spans="1:7" ht="13.5" customHeight="1">
      <c r="A43" s="778" t="s">
        <v>347</v>
      </c>
      <c r="B43" s="213" t="s">
        <v>1545</v>
      </c>
      <c r="C43" s="236">
        <f ca="1">ROUND(IF('数据-取费表'!B22&lt;=1,C39*F22*'数据-取费表'!B20/2,C39*(POWER((1+F22),'数据-取费表'!B20/2)-1)),0)</f>
        <v>1349</v>
      </c>
      <c r="D43" s="236"/>
      <c r="E43" s="236"/>
      <c r="F43" s="237"/>
      <c r="G43" s="3644"/>
    </row>
    <row r="44" spans="1:7" ht="13.5" customHeight="1">
      <c r="A44" s="778" t="s">
        <v>348</v>
      </c>
      <c r="B44" s="213" t="s">
        <v>1546</v>
      </c>
      <c r="C44" s="236">
        <f ca="1">ROUND(IF('数据-取费表'!B22&lt;=1,C40*F22*'数据-取费表'!B20/2,C40*(POWER((1+F22),'数据-取费表'!B20/2)-1)),4)</f>
        <v>5.9999999999999995E-4</v>
      </c>
      <c r="D44" s="236"/>
      <c r="E44" s="236"/>
      <c r="F44" s="237"/>
      <c r="G44" s="3645"/>
    </row>
    <row r="45" spans="1:7" s="212" customFormat="1" ht="13.5" customHeight="1">
      <c r="A45" s="253" t="s">
        <v>1547</v>
      </c>
      <c r="B45" s="242" t="s">
        <v>1513</v>
      </c>
      <c r="C45" s="243">
        <f ca="1">C46</f>
        <v>223142</v>
      </c>
      <c r="D45" s="233">
        <f ca="1">C47</f>
        <v>3.0000000000000001E-3</v>
      </c>
      <c r="E45" s="234" t="s">
        <v>1539</v>
      </c>
      <c r="F45" s="244">
        <f ca="1">F27</f>
        <v>0.1</v>
      </c>
      <c r="G45" s="245" t="s">
        <v>1548</v>
      </c>
    </row>
    <row r="46" spans="1:7" s="212" customFormat="1" ht="13.5" customHeight="1">
      <c r="A46" s="778" t="s">
        <v>346</v>
      </c>
      <c r="B46" s="246" t="s">
        <v>1549</v>
      </c>
      <c r="C46" s="247">
        <f ca="1">ROUND((C33+C39)*F27,0)</f>
        <v>223142</v>
      </c>
      <c r="D46" s="261"/>
      <c r="E46" s="234"/>
      <c r="F46" s="244"/>
      <c r="G46" s="245"/>
    </row>
    <row r="47" spans="1:7" s="212" customFormat="1" ht="13.5" customHeight="1">
      <c r="A47" s="778" t="s">
        <v>347</v>
      </c>
      <c r="B47" s="246" t="s">
        <v>1550</v>
      </c>
      <c r="C47" s="236">
        <f ca="1">ROUND(C40*F27,4)</f>
        <v>3.0000000000000001E-3</v>
      </c>
      <c r="D47" s="261"/>
      <c r="E47" s="234"/>
      <c r="F47" s="244"/>
      <c r="G47" s="245"/>
    </row>
    <row r="48" spans="1:7" s="212" customFormat="1" ht="13.5" customHeight="1">
      <c r="A48" s="253" t="s">
        <v>1512</v>
      </c>
      <c r="B48" s="208" t="s">
        <v>1551</v>
      </c>
      <c r="C48" s="260">
        <f>ROUND(F30/(1+'数据-取费表'!C42),4)</f>
        <v>5.33E-2</v>
      </c>
      <c r="D48" s="234" t="s">
        <v>1539</v>
      </c>
      <c r="E48" s="230"/>
      <c r="F48" s="235">
        <f>F30</f>
        <v>5.6000000000000001E-2</v>
      </c>
      <c r="G48" s="232" t="s">
        <v>1552</v>
      </c>
    </row>
    <row r="49" spans="1:7" ht="16.5" customHeight="1">
      <c r="A49" s="253" t="s">
        <v>1518</v>
      </c>
      <c r="B49" s="208" t="s">
        <v>1592</v>
      </c>
      <c r="C49" s="230">
        <f ca="1">ROUND((C33+C39+C41+C45)/(1-C40-D41-D45-C48),0)</f>
        <v>2738873</v>
      </c>
      <c r="D49" s="230"/>
      <c r="E49" s="230"/>
      <c r="F49" s="262"/>
      <c r="G49" s="232" t="s">
        <v>1554</v>
      </c>
    </row>
    <row r="50" spans="1:7" s="256" customFormat="1">
      <c r="A50" s="253" t="s">
        <v>1555</v>
      </c>
      <c r="B50" s="208" t="s">
        <v>1556</v>
      </c>
      <c r="C50" s="230"/>
      <c r="D50" s="230"/>
      <c r="E50" s="230"/>
      <c r="F50" s="262">
        <f>IF('数据-取费表'!B24=0,'数据-取费表'!N16,1)</f>
        <v>0.66</v>
      </c>
      <c r="G50" s="245"/>
    </row>
    <row r="51" spans="1:7" ht="16.5" customHeight="1">
      <c r="A51" s="253" t="s">
        <v>1558</v>
      </c>
      <c r="B51" s="208" t="s">
        <v>1593</v>
      </c>
      <c r="C51" s="230">
        <f ca="1">ROUND(C49*F50,0)</f>
        <v>1807656</v>
      </c>
      <c r="D51" s="230"/>
      <c r="E51" s="230"/>
      <c r="F51" s="262"/>
      <c r="G51" s="232" t="s">
        <v>1560</v>
      </c>
    </row>
    <row r="52" spans="1:7" s="206" customFormat="1" ht="16.8" thickBot="1">
      <c r="A52" s="263" t="s">
        <v>1561</v>
      </c>
      <c r="B52" s="264"/>
      <c r="C52" s="265">
        <f ca="1">C31+C51</f>
        <v>46300595</v>
      </c>
      <c r="D52" s="264"/>
      <c r="E52" s="264"/>
      <c r="F52" s="264"/>
      <c r="G52" s="266"/>
    </row>
    <row r="55" spans="1:7" ht="15">
      <c r="B55" s="268" t="s">
        <v>1562</v>
      </c>
      <c r="C55" s="269"/>
    </row>
    <row r="56" spans="1:7">
      <c r="B56" s="271" t="s">
        <v>802</v>
      </c>
      <c r="C56" s="273">
        <f ca="1">1-C57</f>
        <v>0.96099999999999997</v>
      </c>
    </row>
    <row r="57" spans="1:7">
      <c r="B57" s="271" t="s">
        <v>803</v>
      </c>
      <c r="C57" s="272">
        <f ca="1">ROUND(C51/C52,3)</f>
        <v>3.9E-2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6" customWidth="1"/>
    <col min="2" max="2" width="25.77734375" style="779" customWidth="1"/>
    <col min="3" max="3" width="10.33203125" style="821" customWidth="1"/>
    <col min="4" max="4" width="9.88671875" style="779" customWidth="1"/>
    <col min="5" max="5" width="9.44140625" style="726" customWidth="1"/>
    <col min="6" max="6" width="10.109375" style="779" customWidth="1"/>
    <col min="7" max="7" width="10.77734375" style="779" customWidth="1"/>
    <col min="8" max="8" width="10" style="779" customWidth="1"/>
    <col min="9" max="11" width="9.44140625" style="779" customWidth="1"/>
    <col min="12" max="12" width="9" style="779" customWidth="1"/>
    <col min="13" max="13" width="10.44140625" style="779" bestFit="1" customWidth="1"/>
    <col min="14" max="254" width="9" style="779" customWidth="1"/>
    <col min="255" max="16384" width="6.6640625" style="779"/>
  </cols>
  <sheetData>
    <row r="1" spans="1:33" ht="21">
      <c r="A1" s="194" t="s">
        <v>1594</v>
      </c>
      <c r="B1" s="1188"/>
      <c r="C1" s="1189"/>
      <c r="D1" s="1187"/>
      <c r="E1" s="2803"/>
      <c r="F1" s="2803"/>
      <c r="G1" s="2668"/>
      <c r="H1" s="2803"/>
      <c r="I1" s="2803"/>
      <c r="J1" s="2803"/>
      <c r="K1" s="2804">
        <f>MATCH(C1,'数据-取费表'!A6:A16,0)+5</f>
        <v>7</v>
      </c>
    </row>
    <row r="2" spans="1:33" ht="18" customHeight="1">
      <c r="A2" s="199" t="s">
        <v>1462</v>
      </c>
      <c r="B2" s="202">
        <f ca="1">C32</f>
        <v>0</v>
      </c>
      <c r="C2" s="274" t="s">
        <v>1595</v>
      </c>
      <c r="D2" s="274"/>
      <c r="E2" s="2803"/>
      <c r="F2" s="2803"/>
      <c r="G2" s="2803"/>
      <c r="H2" s="2803"/>
      <c r="I2" s="2803"/>
      <c r="J2" s="2803"/>
      <c r="K2" s="2803"/>
    </row>
    <row r="3" spans="1:33" ht="18" customHeight="1" thickBot="1">
      <c r="A3" s="201" t="s">
        <v>1464</v>
      </c>
      <c r="B3" s="202">
        <f ca="1">ROUND(B2*10000/IF(C1="",'数据-汇总表'!E3,INDIRECT("'数据-取费表'!K"&amp;$K$1)),0)</f>
        <v>0</v>
      </c>
      <c r="C3" s="274" t="s">
        <v>1596</v>
      </c>
      <c r="D3" s="274"/>
      <c r="E3" s="2803"/>
      <c r="F3" s="2803"/>
      <c r="G3" s="2803"/>
      <c r="H3" s="2803"/>
      <c r="I3" s="2803"/>
      <c r="J3" s="2803"/>
      <c r="K3" s="2803"/>
    </row>
    <row r="4" spans="1:33" s="783" customFormat="1" ht="16.5" customHeight="1">
      <c r="A4" s="780" t="s">
        <v>1597</v>
      </c>
      <c r="B4" s="781"/>
      <c r="C4" s="822">
        <f>SUM(C8:K8)</f>
        <v>0</v>
      </c>
      <c r="D4" s="781"/>
      <c r="E4" s="781"/>
      <c r="F4" s="781"/>
      <c r="G4" s="781"/>
      <c r="H4" s="781"/>
      <c r="I4" s="781"/>
      <c r="J4" s="781"/>
      <c r="K4" s="782"/>
    </row>
    <row r="5" spans="1:33" s="787" customFormat="1" ht="14.4">
      <c r="A5" s="784" t="s">
        <v>1598</v>
      </c>
      <c r="B5" s="785" t="s">
        <v>1599</v>
      </c>
      <c r="C5" s="1857"/>
      <c r="D5" s="1857"/>
      <c r="E5" s="1857"/>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29"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1603</v>
      </c>
      <c r="B8" s="162"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7">
        <f ca="1">IF(C1="",'数据-取费表'!P16,INDIRECT("'数据-取费表'!p"&amp;$K$1)+INDIRECT("'数据-取费表'!ar"&amp;$K$1))</f>
        <v>0</v>
      </c>
      <c r="D11" s="800"/>
      <c r="E11" s="327"/>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7"/>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7"/>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204.38</v>
      </c>
      <c r="E14" s="21">
        <f>'数据-取费表'!B35</f>
        <v>150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29"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29"/>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204.38</v>
      </c>
      <c r="E17" s="21">
        <f>'数据-取费表'!B32</f>
        <v>0</v>
      </c>
      <c r="F17" s="804"/>
      <c r="G17" s="129"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59"/>
      <c r="H18" s="1184"/>
      <c r="I18" s="1860"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1627</v>
      </c>
      <c r="C20" s="21">
        <f ca="1">ROUND(D20*E20/10000,0)</f>
        <v>4</v>
      </c>
      <c r="D20" s="844">
        <f ca="1">IF(C1="",'数据-汇总表'!E6,IF(INDIRECT("'数据-取费表'!c"&amp;$K$1)="住宅",INDIRECT("'数据-取费表'!s"&amp;$K$1),INDIRECT("'数据-取费表'!k"&amp;$K$1)+INDIRECT("'数据-取费表'!s"&amp;$K$1)))</f>
        <v>204.38</v>
      </c>
      <c r="E20" s="21">
        <f>'数据-取费表'!B28</f>
        <v>200</v>
      </c>
      <c r="F20" s="802"/>
      <c r="G20" s="12"/>
      <c r="H20" s="807"/>
      <c r="I20" s="807"/>
      <c r="J20" s="807"/>
      <c r="K20" s="808"/>
    </row>
    <row r="21" spans="1:33" s="801" customFormat="1" ht="13.5" customHeight="1">
      <c r="A21" s="788" t="s">
        <v>357</v>
      </c>
      <c r="B21" s="811" t="s">
        <v>1628</v>
      </c>
      <c r="C21" s="812">
        <f ca="1">C16+C17+C18</f>
        <v>0</v>
      </c>
      <c r="D21" s="813"/>
      <c r="E21" s="279"/>
      <c r="F21" s="279"/>
      <c r="G21" s="129" t="s">
        <v>1629</v>
      </c>
      <c r="H21" s="805"/>
      <c r="I21" s="805"/>
      <c r="J21" s="805"/>
      <c r="K21" s="806"/>
    </row>
    <row r="22" spans="1:33" s="801" customFormat="1" ht="13.5" customHeight="1">
      <c r="A22" s="788" t="s">
        <v>1601</v>
      </c>
      <c r="B22" s="811" t="s">
        <v>1630</v>
      </c>
      <c r="C22" s="812">
        <f ca="1">ROUND(C21*F22,0)</f>
        <v>0</v>
      </c>
      <c r="D22" s="279"/>
      <c r="E22" s="279"/>
      <c r="F22" s="814">
        <f>'数据-取费表'!B37</f>
        <v>0.03</v>
      </c>
      <c r="G22" s="5" t="s">
        <v>1631</v>
      </c>
      <c r="H22" s="795"/>
      <c r="I22" s="795"/>
      <c r="J22" s="795"/>
      <c r="K22" s="796"/>
    </row>
    <row r="23" spans="1:33" s="801" customFormat="1" ht="13.5" customHeight="1">
      <c r="A23" s="788" t="s">
        <v>1603</v>
      </c>
      <c r="B23" s="811" t="s">
        <v>1632</v>
      </c>
      <c r="C23" s="812">
        <f ca="1">ROUND(C4*F23*F11,0)</f>
        <v>0</v>
      </c>
      <c r="D23" s="279"/>
      <c r="E23" s="279"/>
      <c r="F23" s="814">
        <f>'数据-取费表'!B38</f>
        <v>0.03</v>
      </c>
      <c r="G23" s="5" t="s">
        <v>1633</v>
      </c>
      <c r="H23" s="795"/>
      <c r="I23" s="795"/>
      <c r="J23" s="795"/>
      <c r="K23" s="796"/>
    </row>
    <row r="24" spans="1:33" s="801" customFormat="1" ht="13.5" customHeight="1">
      <c r="A24" s="788" t="s">
        <v>1634</v>
      </c>
      <c r="B24" s="811" t="s">
        <v>1635</v>
      </c>
      <c r="C24" s="278">
        <f>ROUND(F24/(1+'数据-取费表'!C42),4)</f>
        <v>2.9000000000000001E-2</v>
      </c>
      <c r="D24" s="279" t="s">
        <v>12</v>
      </c>
      <c r="E24" s="279"/>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3">
        <f ca="1">C27</f>
        <v>0</v>
      </c>
      <c r="D25" s="278">
        <f ca="1">C26</f>
        <v>0</v>
      </c>
      <c r="E25" s="280" t="s">
        <v>12</v>
      </c>
      <c r="F25" s="281">
        <f ca="1">'数据-取费表'!B40</f>
        <v>4.1499999999999995E-2</v>
      </c>
      <c r="G25" s="129" t="str">
        <f>IF('数据-取费表'!B22&lt;=1,"单利计息。","复利计息。")&amp;"后续开发成本、管理费用及销售费用产生的利息。"</f>
        <v>单利计息。后续开发成本、管理费用及销售费用产生的利息。</v>
      </c>
      <c r="H25" s="816"/>
      <c r="I25" s="816"/>
      <c r="J25" s="816"/>
      <c r="K25" s="817"/>
    </row>
    <row r="26" spans="1:33" s="819" customFormat="1" ht="13.5" customHeight="1">
      <c r="A26" s="798" t="s">
        <v>358</v>
      </c>
      <c r="B26" s="818" t="s">
        <v>1639</v>
      </c>
      <c r="C26" s="1104">
        <f ca="1">ROUND(IF('数据-取费表'!B22&lt;=1,(1+C24)*F25*'数据-取费表'!B24,(1+C24)*(POWER((1+F25),'数据-取费表'!B24)-1)),4)</f>
        <v>0</v>
      </c>
      <c r="D26" s="282"/>
      <c r="E26" s="283"/>
      <c r="F26" s="284"/>
      <c r="G26" s="1861" t="str">
        <f>IF('数据-取费表'!B22&lt;=1,"（(1)+取得税费率/(1+5%)）×年利率×建设期","（(1)+取得税费率）/(1+5%)×((1+年利率)^建设期-1)")</f>
        <v>（(1)+取得税费率/(1+5%)）×年利率×建设期</v>
      </c>
      <c r="H26" s="805"/>
      <c r="I26" s="805"/>
      <c r="J26" s="805"/>
      <c r="K26" s="806"/>
    </row>
    <row r="27" spans="1:33" s="819" customFormat="1" ht="13.5" customHeight="1">
      <c r="A27" s="798" t="s">
        <v>359</v>
      </c>
      <c r="B27" s="818" t="s">
        <v>1640</v>
      </c>
      <c r="C27" s="1105">
        <f ca="1">ROUND(IF('数据-取费表'!B22&lt;=1,(C21+C22+C23)*F25*'数据-取费表'!B24/2,(C21+C22+C23)*(POWER((1+F25),'数据-取费表'!B24/2)-1)),0)</f>
        <v>0</v>
      </c>
      <c r="D27" s="282"/>
      <c r="E27" s="283"/>
      <c r="F27" s="284"/>
      <c r="G27" s="1861" t="str">
        <f>IF('数据-取费表'!B22&lt;=1,"（1）-（3）项×年利率×建设期÷2","（1）-（3）项×((1+年利率)^(建设期÷2)-1)")</f>
        <v>（1）-（3）项×年利率×建设期÷2</v>
      </c>
      <c r="H27" s="805"/>
      <c r="I27" s="805"/>
      <c r="J27" s="805"/>
      <c r="K27" s="806"/>
    </row>
    <row r="28" spans="1:33" s="287" customFormat="1" ht="13.5" customHeight="1">
      <c r="A28" s="788" t="s">
        <v>1641</v>
      </c>
      <c r="B28" s="1862" t="s">
        <v>1642</v>
      </c>
      <c r="C28" s="285">
        <f ca="1">C30</f>
        <v>0</v>
      </c>
      <c r="D28" s="278">
        <f ca="1">C29</f>
        <v>0</v>
      </c>
      <c r="E28" s="280" t="s">
        <v>12</v>
      </c>
      <c r="F28" s="286">
        <f ca="1">IF(C1="",'数据-取费表'!Q16,INDIRECT("'数据-取费表'!q"&amp;$K$1))</f>
        <v>0.1</v>
      </c>
      <c r="G28" s="815"/>
      <c r="H28" s="816"/>
      <c r="I28" s="816"/>
      <c r="J28" s="816"/>
      <c r="K28" s="817"/>
    </row>
    <row r="29" spans="1:33" s="289" customFormat="1" ht="13.5" customHeight="1">
      <c r="A29" s="798" t="s">
        <v>358</v>
      </c>
      <c r="B29" s="820" t="s">
        <v>1643</v>
      </c>
      <c r="C29" s="282">
        <f ca="1">ROUND((1+C24)*F28*'数据-取费表'!B24/'数据-取费表'!B20,4)</f>
        <v>0</v>
      </c>
      <c r="D29" s="282"/>
      <c r="E29" s="283"/>
      <c r="F29" s="288"/>
      <c r="G29" s="129" t="s">
        <v>1644</v>
      </c>
      <c r="H29" s="805"/>
      <c r="I29" s="805"/>
      <c r="J29" s="805"/>
      <c r="K29" s="806"/>
    </row>
    <row r="30" spans="1:33" s="289" customFormat="1" ht="13.5" customHeight="1">
      <c r="A30" s="798" t="s">
        <v>359</v>
      </c>
      <c r="B30" s="820" t="s">
        <v>1645</v>
      </c>
      <c r="C30" s="290">
        <f ca="1">ROUND((C21+C22+C23)*F28,0)</f>
        <v>0</v>
      </c>
      <c r="D30" s="282"/>
      <c r="E30" s="283"/>
      <c r="F30" s="288"/>
      <c r="G30" s="129"/>
      <c r="H30" s="805"/>
      <c r="I30" s="805"/>
      <c r="J30" s="805"/>
      <c r="K30" s="806"/>
    </row>
    <row r="31" spans="1:33" s="801" customFormat="1" ht="13.5" customHeight="1" thickBot="1">
      <c r="A31" s="1863"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55" sqref="E55"/>
    </sheetView>
  </sheetViews>
  <sheetFormatPr defaultColWidth="12" defaultRowHeight="13.2"/>
  <cols>
    <col min="1" max="1" width="9.77734375" style="2050" customWidth="1"/>
    <col min="2" max="2" width="22.44140625" style="2141" customWidth="1"/>
    <col min="3" max="3" width="12" style="1995"/>
    <col min="4" max="4" width="14.88671875" style="1995" customWidth="1"/>
    <col min="5" max="5" width="14.6640625" style="1995" customWidth="1"/>
    <col min="6" max="8" width="12" style="1995"/>
    <col min="9" max="9" width="12.21875" style="1995" bestFit="1" customWidth="1"/>
    <col min="10" max="10" width="12" style="1995"/>
    <col min="11" max="11" width="8.109375" style="2046" customWidth="1"/>
    <col min="12" max="12" width="19.44140625" style="1995" customWidth="1"/>
    <col min="13" max="13" width="8.44140625" style="1995" customWidth="1"/>
    <col min="14" max="14" width="9.77734375" style="1995" customWidth="1"/>
    <col min="15" max="25" width="12" style="1995"/>
    <col min="26" max="26" width="9.33203125" style="2050" customWidth="1"/>
    <col min="27" max="32" width="9.33203125" style="1118" customWidth="1"/>
    <col min="33" max="36" width="9.33203125" style="2050" customWidth="1"/>
    <col min="37" max="38" width="9.33203125" style="1995" customWidth="1"/>
    <col min="39" max="16384" width="12" style="1995"/>
  </cols>
  <sheetData>
    <row r="1" spans="1:36" ht="31.2">
      <c r="A1" s="194" t="s">
        <v>1926</v>
      </c>
      <c r="B1" s="195"/>
      <c r="C1" s="199" t="s">
        <v>1927</v>
      </c>
      <c r="D1" s="340">
        <f>SUM(D33:D34,D37:D42)</f>
        <v>2229.4899999999998</v>
      </c>
      <c r="E1" s="1992"/>
      <c r="F1" s="1992"/>
      <c r="G1" s="1992"/>
      <c r="H1" s="1992"/>
      <c r="I1" s="1992"/>
      <c r="J1" s="1992"/>
      <c r="K1" s="1116"/>
      <c r="L1" s="1993" t="s">
        <v>1928</v>
      </c>
      <c r="M1" s="860">
        <f>SUMPRODUCT((区片价!B5:B9=I2)*(区片价!C3:G3=E2)*(区片价!C5:G9))</f>
        <v>0</v>
      </c>
      <c r="N1" s="863">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6">
      <c r="A2" s="199" t="s">
        <v>1934</v>
      </c>
      <c r="B2" s="202">
        <f>C30</f>
        <v>3351</v>
      </c>
      <c r="C2" s="1996" t="s">
        <v>1935</v>
      </c>
      <c r="D2" s="1997" t="s">
        <v>1936</v>
      </c>
      <c r="E2" s="3421" t="s">
        <v>673</v>
      </c>
      <c r="F2" s="1997" t="s">
        <v>1937</v>
      </c>
      <c r="G2" s="1998" t="str">
        <f>IF(E2="商业",项目基本情况!B37,IF(E2="办公",项目基本情况!C37,IF(E2="住宅",项目基本情况!D37,IF(E2="工业",项目基本情况!E37,项目基本情况!F37))))</f>
        <v>五级</v>
      </c>
      <c r="H2" s="1997" t="s">
        <v>1938</v>
      </c>
      <c r="I2" s="1998" t="str">
        <f>IF(E2="商业",项目基本情况!B38,IF(E2="办公",项目基本情况!C38,IF(E2="住宅",项目基本情况!D38,IF(E2="工业",项目基本情况!E38,项目基本情况!F38))))</f>
        <v>Ⅴ-03</v>
      </c>
      <c r="J2" s="1999"/>
      <c r="K2" s="1116"/>
      <c r="L2" s="2000" t="s">
        <v>1939</v>
      </c>
      <c r="M2" s="861">
        <f>SUMPRODUCT((区片价!B10:B29=I2)*(区片价!C3:G3=E2)*(区片价!C10:G29))</f>
        <v>0</v>
      </c>
      <c r="N2" s="863">
        <f>SUMPRODUCT((因素修正幅度!B10:B29=I2)*(因素修正幅度!C3:G3=E2)*(因素修正幅度!C10:G29))</f>
        <v>0</v>
      </c>
      <c r="O2" s="1116"/>
      <c r="P2" s="1116"/>
      <c r="Q2" s="1116"/>
      <c r="R2" s="1209">
        <v>1</v>
      </c>
      <c r="S2" s="3360">
        <f>ROUND(SUMPRODUCT((B106:B110=R2)*(C105:N105=G2)*(C106:N110)),4)</f>
        <v>1.5019</v>
      </c>
      <c r="T2" s="3360">
        <f t="shared" ref="T2:T16" si="0">ROUND($C$5*$C$22*$C$23*$C$24*S2*$C$28,0)</f>
        <v>18355</v>
      </c>
      <c r="U2" s="1210">
        <f>'数据-汇总表'!D3</f>
        <v>2229.4899999999998</v>
      </c>
      <c r="V2" s="3360">
        <f>ROUND(T2*U2/10000,0)</f>
        <v>4092</v>
      </c>
      <c r="W2" s="1213"/>
      <c r="X2" s="1213"/>
      <c r="Y2" s="1213"/>
      <c r="Z2" s="1213"/>
      <c r="AA2" s="1213"/>
      <c r="AB2" s="1213"/>
      <c r="AC2" s="1214"/>
      <c r="AD2" s="1215"/>
      <c r="AE2" s="1215"/>
      <c r="AF2" s="1215"/>
      <c r="AG2" s="1215"/>
      <c r="AH2" s="1215"/>
      <c r="AI2" s="1215"/>
      <c r="AJ2" s="1216"/>
    </row>
    <row r="3" spans="1:36" ht="15.6">
      <c r="A3" s="201" t="s">
        <v>1940</v>
      </c>
      <c r="B3" s="202">
        <f>ROUND(B2*10000/D1,0)</f>
        <v>15030</v>
      </c>
      <c r="C3" s="1996" t="s">
        <v>1941</v>
      </c>
      <c r="D3" s="1997" t="s">
        <v>1942</v>
      </c>
      <c r="E3" s="3419" t="s">
        <v>2442</v>
      </c>
      <c r="F3" s="2001" t="s">
        <v>3387</v>
      </c>
      <c r="G3" s="750">
        <f>IF(F3="宗地容积率",'数据-汇总表'!I4,IF(F3="估价对象容积率",'数据-汇总表'!I6,'数据-汇总表'!I7))</f>
        <v>1</v>
      </c>
      <c r="H3" s="168" t="s">
        <v>1943</v>
      </c>
      <c r="I3" s="773">
        <v>1</v>
      </c>
      <c r="J3" s="1999" t="s">
        <v>1944</v>
      </c>
      <c r="K3" s="1116"/>
      <c r="L3" s="2000" t="s">
        <v>1945</v>
      </c>
      <c r="M3" s="861">
        <f>SUMPRODUCT((区片价!B30:B54=I2)*(区片价!C3:G3=E2)*(区片价!C30:G54))</f>
        <v>0</v>
      </c>
      <c r="N3" s="863">
        <f>SUMPRODUCT((因素修正幅度!B30:B54=I2)*(因素修正幅度!C3:G3=E2)*(因素修正幅度!C30:G54))</f>
        <v>0</v>
      </c>
      <c r="O3" s="1116"/>
      <c r="P3" s="1116"/>
      <c r="Q3" s="1116"/>
      <c r="R3" s="1209">
        <v>2</v>
      </c>
      <c r="S3" s="3360">
        <f>ROUND(SUMPRODUCT((B106:B110=R3)*(C105:N105=G2)*(C106:N110)),4)</f>
        <v>1.1838</v>
      </c>
      <c r="T3" s="3360">
        <f t="shared" si="0"/>
        <v>14467</v>
      </c>
      <c r="U3" s="1210"/>
      <c r="V3" s="3360">
        <f t="shared" ref="V3:V16" si="1">ROUND(T3*U3/10000,0)</f>
        <v>0</v>
      </c>
      <c r="W3" s="1213"/>
      <c r="X3" s="1213"/>
      <c r="Y3" s="1213"/>
      <c r="Z3" s="1213"/>
      <c r="AA3" s="1213"/>
      <c r="AB3" s="1213"/>
      <c r="AC3" s="1214"/>
      <c r="AD3" s="1215"/>
      <c r="AE3" s="1215"/>
      <c r="AF3" s="1215"/>
      <c r="AG3" s="1215"/>
      <c r="AH3" s="1215"/>
      <c r="AI3" s="1215"/>
      <c r="AJ3" s="1216"/>
    </row>
    <row r="4" spans="1:36" ht="15.6">
      <c r="A4" s="3653"/>
      <c r="B4" s="3654"/>
      <c r="C4" s="3654"/>
      <c r="D4" s="3655"/>
      <c r="E4" s="3655"/>
      <c r="F4" s="3655"/>
      <c r="G4" s="3655"/>
      <c r="H4" s="3655"/>
      <c r="I4" s="3655"/>
      <c r="J4" s="3656"/>
      <c r="K4" s="1116"/>
      <c r="L4" s="2000" t="s">
        <v>1946</v>
      </c>
      <c r="M4" s="861">
        <f>SUMPRODUCT((区片价!B55:B86=I2)*(区片价!C3:G3=E2)*(区片价!C55:G86))</f>
        <v>0</v>
      </c>
      <c r="N4" s="863">
        <f>SUMPRODUCT((因素修正幅度!B55:B86=I2)*(因素修正幅度!C3:G3=E2)*(因素修正幅度!C55:G86))</f>
        <v>0</v>
      </c>
      <c r="O4" s="1116"/>
      <c r="P4" s="1116"/>
      <c r="Q4" s="1116"/>
      <c r="R4" s="1209">
        <v>3</v>
      </c>
      <c r="S4" s="3360">
        <f>ROUND(SUMPRODUCT((B106:B110=R4)*(C105:N105=G2)*(C106:N110)),4)</f>
        <v>1.0004999999999999</v>
      </c>
      <c r="T4" s="3360">
        <f t="shared" si="0"/>
        <v>12227</v>
      </c>
      <c r="U4" s="1210"/>
      <c r="V4" s="3360">
        <f t="shared" si="1"/>
        <v>0</v>
      </c>
      <c r="W4" s="1213"/>
      <c r="X4" s="1213"/>
      <c r="Y4" s="1213"/>
      <c r="Z4" s="1213"/>
      <c r="AA4" s="1213"/>
      <c r="AB4" s="1213"/>
      <c r="AC4" s="1214"/>
      <c r="AD4" s="1215"/>
      <c r="AE4" s="1215"/>
      <c r="AF4" s="1215"/>
      <c r="AG4" s="1215"/>
      <c r="AH4" s="1215"/>
      <c r="AI4" s="1215"/>
      <c r="AJ4" s="1216"/>
    </row>
    <row r="5" spans="1:36" s="2011" customFormat="1" ht="15.6" thickBot="1">
      <c r="A5" s="2002" t="s">
        <v>362</v>
      </c>
      <c r="B5" s="2003" t="s">
        <v>1947</v>
      </c>
      <c r="C5" s="751">
        <f>ROUND(IF(E2="商业",C6*C7*C17+C20,(IF(E2="住宅",C6*C13*C17+C20,IF(E2="办公",C6*C12*C17+C20,C6+C20)))),0)</f>
        <v>15564</v>
      </c>
      <c r="D5" s="1336">
        <f>ROUND(C6*C17+C20,0)</f>
        <v>15564</v>
      </c>
      <c r="E5" s="1336"/>
      <c r="F5" s="2004"/>
      <c r="G5" s="2005"/>
      <c r="H5" s="2005"/>
      <c r="I5" s="2005"/>
      <c r="J5" s="2006"/>
      <c r="K5" s="2007"/>
      <c r="L5" s="2000" t="s">
        <v>1948</v>
      </c>
      <c r="M5" s="861">
        <f>SUMPRODUCT((区片价!B87:B126=I2)*(区片价!C3:G3=E2)*(区片价!C87:G126))</f>
        <v>15600</v>
      </c>
      <c r="N5" s="863">
        <f>SUMPRODUCT((因素修正幅度!B87:B126=I2)*(因素修正幅度!C3:G3=E2)*(因素修正幅度!C87:G126))</f>
        <v>0.1</v>
      </c>
      <c r="O5" s="1116"/>
      <c r="P5" s="1116"/>
      <c r="Q5" s="1116"/>
      <c r="R5" s="1209">
        <v>4</v>
      </c>
      <c r="S5" s="3360">
        <f>ROUND(SUMPRODUCT((B106:B110=R5)*(C105:N105=G2)*(C106:N110)),4)</f>
        <v>0.88239999999999996</v>
      </c>
      <c r="T5" s="3360">
        <f t="shared" si="0"/>
        <v>10784</v>
      </c>
      <c r="U5" s="1210"/>
      <c r="V5" s="3360">
        <f t="shared" si="1"/>
        <v>0</v>
      </c>
      <c r="W5" s="1213"/>
      <c r="X5" s="1213"/>
      <c r="Y5" s="1213"/>
      <c r="Z5" s="1213"/>
      <c r="AA5" s="1213"/>
      <c r="AB5" s="1213"/>
      <c r="AC5" s="2008"/>
      <c r="AD5" s="2009"/>
      <c r="AE5" s="2009"/>
      <c r="AF5" s="2009"/>
      <c r="AG5" s="2009"/>
      <c r="AH5" s="2009"/>
      <c r="AI5" s="2009"/>
      <c r="AJ5" s="2010"/>
    </row>
    <row r="6" spans="1:36" ht="15.6" thickBot="1">
      <c r="A6" s="2012" t="s">
        <v>1949</v>
      </c>
      <c r="B6" s="2013" t="s">
        <v>1950</v>
      </c>
      <c r="C6" s="752">
        <f>SUMIF(L1:L12,G2,M1:M12)</f>
        <v>15600</v>
      </c>
      <c r="D6" s="2014"/>
      <c r="E6" s="2015"/>
      <c r="F6" s="2015"/>
      <c r="G6" s="2016"/>
      <c r="H6" s="2016"/>
      <c r="I6" s="2016"/>
      <c r="J6" s="2017"/>
      <c r="K6" s="1381"/>
      <c r="L6" s="2000" t="s">
        <v>1951</v>
      </c>
      <c r="M6" s="861">
        <f>SUMPRODUCT((区片价!B127:B189=I2)*(区片价!C3:G3=E2)*(区片价!C127:G189))</f>
        <v>0</v>
      </c>
      <c r="N6" s="863">
        <f>SUMPRODUCT((因素修正幅度!B127:B189=I2)*(因素修正幅度!C3:G3=E2)*(因素修正幅度!C127:G189))</f>
        <v>0</v>
      </c>
      <c r="O6" s="1116"/>
      <c r="P6" s="1116"/>
      <c r="Q6" s="1116"/>
      <c r="R6" s="1209">
        <v>5</v>
      </c>
      <c r="S6" s="3360">
        <f>ROUND(SUMPRODUCT((B106:B110=R6)*(C105:N105=G2)*(C106:N110)),4)</f>
        <v>0.84799999999999998</v>
      </c>
      <c r="T6" s="3360">
        <f t="shared" si="0"/>
        <v>10363</v>
      </c>
      <c r="U6" s="1210"/>
      <c r="V6" s="3360">
        <f t="shared" si="1"/>
        <v>0</v>
      </c>
      <c r="W6" s="1213"/>
      <c r="X6" s="1213"/>
      <c r="Y6" s="1213"/>
      <c r="Z6" s="1213"/>
      <c r="AA6" s="1213"/>
      <c r="AB6" s="1213"/>
      <c r="AC6" s="2008"/>
      <c r="AD6" s="2009"/>
      <c r="AE6" s="2009"/>
      <c r="AF6" s="2009"/>
      <c r="AG6" s="2009"/>
      <c r="AH6" s="2009"/>
      <c r="AI6" s="2009"/>
      <c r="AJ6" s="2010"/>
    </row>
    <row r="7" spans="1:36" ht="24.6" thickBot="1">
      <c r="A7" s="3302" t="s">
        <v>3246</v>
      </c>
      <c r="B7" s="2018" t="s">
        <v>1952</v>
      </c>
      <c r="C7" s="753">
        <f>IF(C8="不临65条商业街",1,ROUND(1+(1.6*E8+1.2*E9+0.8*E10+0.4*E11)*C9,4))</f>
        <v>1</v>
      </c>
      <c r="D7" s="2019" t="s">
        <v>1953</v>
      </c>
      <c r="E7" s="774"/>
      <c r="F7" s="2020"/>
      <c r="G7" s="2021"/>
      <c r="H7" s="2021"/>
      <c r="I7" s="2021"/>
      <c r="J7" s="2022"/>
      <c r="K7" s="1381"/>
      <c r="L7" s="2000" t="s">
        <v>1954</v>
      </c>
      <c r="M7" s="861">
        <f>SUMPRODUCT((区片价!B190:B233=I2)*(区片价!C3:G3=E2)*(区片价!C190:G233))</f>
        <v>0</v>
      </c>
      <c r="N7" s="863">
        <f>SUMPRODUCT((因素修正幅度!B190:B233=I2)*(因素修正幅度!C3:G3=E2)*(因素修正幅度!C190:G233))</f>
        <v>0</v>
      </c>
      <c r="O7" s="1116"/>
      <c r="P7" s="1116"/>
      <c r="Q7" s="1116"/>
      <c r="R7" s="1209">
        <v>6</v>
      </c>
      <c r="S7" s="3418"/>
      <c r="T7" s="3360">
        <f t="shared" si="0"/>
        <v>0</v>
      </c>
      <c r="U7" s="1210"/>
      <c r="V7" s="3360">
        <f t="shared" si="1"/>
        <v>0</v>
      </c>
      <c r="W7" s="1355" t="s">
        <v>1955</v>
      </c>
      <c r="X7" s="1211" t="str">
        <f>G2</f>
        <v>五级</v>
      </c>
      <c r="Y7" s="1211" t="s">
        <v>1956</v>
      </c>
      <c r="Z7" s="1212">
        <f>G3</f>
        <v>1</v>
      </c>
      <c r="AA7" s="1213"/>
      <c r="AB7" s="1213"/>
      <c r="AC7" s="1214"/>
      <c r="AD7" s="1215"/>
      <c r="AE7" s="1215"/>
      <c r="AF7" s="1215"/>
      <c r="AG7" s="1215"/>
      <c r="AH7" s="1215"/>
      <c r="AI7" s="1215"/>
      <c r="AJ7" s="1216"/>
    </row>
    <row r="8" spans="1:36" ht="26.4">
      <c r="A8" s="3297"/>
      <c r="B8" s="168" t="s">
        <v>1957</v>
      </c>
      <c r="C8" s="2023" t="s">
        <v>3388</v>
      </c>
      <c r="D8" s="754" t="s">
        <v>112</v>
      </c>
      <c r="E8" s="755" t="e">
        <f>ROUND(C11/E7,4)</f>
        <v>#DIV/0!</v>
      </c>
      <c r="F8" s="2024" t="s">
        <v>1958</v>
      </c>
      <c r="G8" s="2025"/>
      <c r="H8" s="2025"/>
      <c r="I8" s="2025"/>
      <c r="J8" s="2026"/>
      <c r="K8" s="1116"/>
      <c r="L8" s="2000" t="s">
        <v>1959</v>
      </c>
      <c r="M8" s="861">
        <f>SUMPRODUCT((区片价!B234:B276=I2)*(区片价!C3:G3=E2)*(区片价!C234:G276))</f>
        <v>0</v>
      </c>
      <c r="N8" s="863">
        <f>SUMPRODUCT((因素修正幅度!B234:B276=I2)*(因素修正幅度!C3:G3=E2)*(因素修正幅度!C234:G276))</f>
        <v>0</v>
      </c>
      <c r="O8" s="1116"/>
      <c r="P8" s="1116"/>
      <c r="Q8" s="1116"/>
      <c r="R8" s="1209">
        <v>7</v>
      </c>
      <c r="S8" s="1210"/>
      <c r="T8" s="3360">
        <f t="shared" si="0"/>
        <v>0</v>
      </c>
      <c r="U8" s="1210"/>
      <c r="V8" s="3360">
        <f t="shared" si="1"/>
        <v>0</v>
      </c>
      <c r="W8" s="3650" t="s">
        <v>1960</v>
      </c>
      <c r="X8" s="3651"/>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7"/>
      <c r="B9" s="168" t="s">
        <v>1973</v>
      </c>
      <c r="C9" s="756">
        <f>SUMIF(修正!C71:C138,C8,修正!E71:E138)</f>
        <v>0</v>
      </c>
      <c r="D9" s="169" t="s">
        <v>113</v>
      </c>
      <c r="E9" s="169" t="e">
        <f>ROUND(C11/E7,4)</f>
        <v>#DIV/0!</v>
      </c>
      <c r="F9" s="2024" t="s">
        <v>1974</v>
      </c>
      <c r="G9" s="2025"/>
      <c r="H9" s="2025"/>
      <c r="I9" s="2025"/>
      <c r="J9" s="2026"/>
      <c r="K9" s="1116"/>
      <c r="L9" s="2000" t="s">
        <v>1975</v>
      </c>
      <c r="M9" s="861">
        <f>SUMPRODUCT((区片价!B277:B326=I2)*(区片价!C3:G3=E2)*(区片价!C277:G326))</f>
        <v>0</v>
      </c>
      <c r="N9" s="863">
        <f>SUMPRODUCT((因素修正幅度!B277:B326=I2)*(因素修正幅度!C3:G3=E2)*(因素修正幅度!C277:G326))</f>
        <v>0</v>
      </c>
      <c r="O9" s="1116"/>
      <c r="P9" s="1116"/>
      <c r="Q9" s="1116"/>
      <c r="R9" s="1209">
        <v>8</v>
      </c>
      <c r="S9" s="1210"/>
      <c r="T9" s="3360">
        <f t="shared" si="0"/>
        <v>0</v>
      </c>
      <c r="U9" s="1210"/>
      <c r="V9" s="3360">
        <f t="shared" si="1"/>
        <v>0</v>
      </c>
      <c r="W9" s="3652"/>
      <c r="X9" s="3361" t="s">
        <v>3277</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7"/>
      <c r="B10" s="168" t="s">
        <v>1976</v>
      </c>
      <c r="C10" s="169">
        <f>SUMIF(修正!C71:C138,C8,修正!F71:F138)</f>
        <v>0</v>
      </c>
      <c r="D10" s="169" t="s">
        <v>114</v>
      </c>
      <c r="E10" s="169" t="e">
        <f>ROUND(C11/E7,4)</f>
        <v>#DIV/0!</v>
      </c>
      <c r="F10" s="2024" t="s">
        <v>1977</v>
      </c>
      <c r="G10" s="2025"/>
      <c r="H10" s="2025"/>
      <c r="I10" s="2025"/>
      <c r="J10" s="2026"/>
      <c r="K10" s="1116"/>
      <c r="L10" s="2000"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60">
        <f t="shared" si="0"/>
        <v>0</v>
      </c>
      <c r="U10" s="1210"/>
      <c r="V10" s="3360">
        <f t="shared" si="1"/>
        <v>0</v>
      </c>
      <c r="W10" s="365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1"/>
      <c r="B11" s="2027" t="s">
        <v>1979</v>
      </c>
      <c r="C11" s="757">
        <f>C10/4</f>
        <v>0</v>
      </c>
      <c r="D11" s="757" t="s">
        <v>115</v>
      </c>
      <c r="E11" s="757" t="e">
        <f>ROUND(C11/E7,4)</f>
        <v>#DIV/0!</v>
      </c>
      <c r="F11" s="2028" t="s">
        <v>1980</v>
      </c>
      <c r="G11" s="2029"/>
      <c r="H11" s="2029"/>
      <c r="I11" s="2029"/>
      <c r="J11" s="2030"/>
      <c r="K11" s="1116"/>
      <c r="L11" s="2000"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60">
        <f t="shared" si="0"/>
        <v>0</v>
      </c>
      <c r="U11" s="1210"/>
      <c r="V11" s="3360">
        <f t="shared" si="1"/>
        <v>0</v>
      </c>
      <c r="W11" s="1213"/>
      <c r="X11" s="1213"/>
      <c r="Y11" s="1213"/>
      <c r="Z11" s="1213"/>
      <c r="AA11" s="1213"/>
      <c r="AB11" s="1213"/>
      <c r="AC11" s="1214"/>
      <c r="AD11" s="2786"/>
      <c r="AE11" s="2786"/>
      <c r="AF11" s="2786"/>
      <c r="AG11" s="2786"/>
      <c r="AH11" s="2786"/>
      <c r="AI11" s="2786"/>
      <c r="AJ11" s="2787"/>
    </row>
    <row r="12" spans="1:36" ht="25.8" thickBot="1">
      <c r="A12" s="3302" t="s">
        <v>3247</v>
      </c>
      <c r="B12" s="3303" t="s">
        <v>3248</v>
      </c>
      <c r="C12" s="3304"/>
      <c r="D12" s="3305" t="s">
        <v>3249</v>
      </c>
      <c r="E12" s="3306" t="s">
        <v>3250</v>
      </c>
      <c r="F12" s="3307"/>
      <c r="G12" s="3308"/>
      <c r="H12" s="3308"/>
      <c r="I12" s="3308"/>
      <c r="J12" s="3309"/>
      <c r="K12" s="1116"/>
      <c r="L12" s="2036"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60">
        <f t="shared" si="0"/>
        <v>0</v>
      </c>
      <c r="U12" s="1210"/>
      <c r="V12" s="3360">
        <f t="shared" si="1"/>
        <v>0</v>
      </c>
      <c r="W12" s="1213"/>
      <c r="X12" s="1213"/>
      <c r="Y12" s="1213"/>
      <c r="Z12" s="1213"/>
      <c r="AA12" s="1213"/>
      <c r="AB12" s="1213"/>
      <c r="AC12" s="1214"/>
      <c r="AD12" s="2786"/>
      <c r="AE12" s="2786"/>
      <c r="AF12" s="2786"/>
      <c r="AG12" s="2786"/>
      <c r="AH12" s="2786"/>
      <c r="AI12" s="2786"/>
      <c r="AJ12" s="2787"/>
    </row>
    <row r="13" spans="1:36" ht="24.6" thickBot="1">
      <c r="A13" s="3302" t="s">
        <v>3251</v>
      </c>
      <c r="B13" s="2031" t="s">
        <v>1982</v>
      </c>
      <c r="C13" s="753">
        <f>ROUND(C16*D16*E16*F16*G16*H16*I16*J16,4)</f>
        <v>0</v>
      </c>
      <c r="D13" s="2032" t="s">
        <v>1983</v>
      </c>
      <c r="E13" s="2033"/>
      <c r="F13" s="2033"/>
      <c r="G13" s="2034"/>
      <c r="H13" s="2034"/>
      <c r="I13" s="2034"/>
      <c r="J13" s="2035"/>
      <c r="K13" s="1116"/>
      <c r="L13" s="3298"/>
      <c r="M13" s="3299"/>
      <c r="N13" s="3300"/>
      <c r="O13" s="1116"/>
      <c r="P13" s="1116"/>
      <c r="Q13" s="1116"/>
      <c r="R13" s="1209">
        <v>12</v>
      </c>
      <c r="S13" s="1210"/>
      <c r="T13" s="3360">
        <f t="shared" si="0"/>
        <v>0</v>
      </c>
      <c r="U13" s="1210"/>
      <c r="V13" s="3360">
        <f t="shared" si="1"/>
        <v>0</v>
      </c>
      <c r="W13" s="1213"/>
      <c r="X13" s="1213"/>
      <c r="Y13" s="1213"/>
      <c r="Z13" s="1213"/>
      <c r="AA13" s="1213"/>
      <c r="AB13" s="1213"/>
      <c r="AC13" s="1214"/>
      <c r="AD13" s="2786"/>
      <c r="AE13" s="2786"/>
      <c r="AF13" s="2786"/>
      <c r="AG13" s="2786"/>
      <c r="AH13" s="2786"/>
      <c r="AI13" s="2786"/>
      <c r="AJ13" s="2787"/>
    </row>
    <row r="14" spans="1:36" ht="24">
      <c r="A14" s="3296"/>
      <c r="B14" s="2037" t="s">
        <v>1985</v>
      </c>
      <c r="C14" s="2038" t="s">
        <v>1986</v>
      </c>
      <c r="D14" s="1347" t="s">
        <v>1987</v>
      </c>
      <c r="E14" s="27" t="s">
        <v>1988</v>
      </c>
      <c r="F14" s="3310" t="s">
        <v>3252</v>
      </c>
      <c r="G14" s="3310" t="s">
        <v>3252</v>
      </c>
      <c r="H14" s="3310" t="s">
        <v>3252</v>
      </c>
      <c r="I14" s="3310" t="s">
        <v>3252</v>
      </c>
      <c r="J14" s="3310" t="s">
        <v>3252</v>
      </c>
      <c r="K14" s="1116"/>
      <c r="L14" s="1116"/>
      <c r="M14" s="1116"/>
      <c r="N14" s="1116"/>
      <c r="O14" s="1116"/>
      <c r="P14" s="1116"/>
      <c r="Q14" s="1116"/>
      <c r="R14" s="1209">
        <v>13</v>
      </c>
      <c r="S14" s="1210"/>
      <c r="T14" s="3360">
        <f t="shared" si="0"/>
        <v>0</v>
      </c>
      <c r="U14" s="1210"/>
      <c r="V14" s="3360">
        <f t="shared" si="1"/>
        <v>0</v>
      </c>
      <c r="W14" s="1213"/>
      <c r="X14" s="1213"/>
      <c r="Y14" s="1213"/>
      <c r="Z14" s="1213"/>
      <c r="AA14" s="1213"/>
      <c r="AB14" s="1213"/>
      <c r="AC14" s="1214"/>
      <c r="AD14" s="2786"/>
      <c r="AE14" s="2786"/>
      <c r="AF14" s="2786"/>
      <c r="AG14" s="2786"/>
      <c r="AH14" s="2786"/>
      <c r="AI14" s="2786"/>
      <c r="AJ14" s="2787"/>
    </row>
    <row r="15" spans="1:36" ht="15">
      <c r="A15" s="3296"/>
      <c r="B15" s="2039"/>
      <c r="C15" s="2040"/>
      <c r="D15" s="2041"/>
      <c r="E15" s="2042"/>
      <c r="F15" s="3311" t="s">
        <v>3253</v>
      </c>
      <c r="G15" s="3312"/>
      <c r="H15" s="3313"/>
      <c r="I15" s="3314"/>
      <c r="J15" s="3315"/>
      <c r="K15" s="1116"/>
      <c r="L15" s="1116"/>
      <c r="M15" s="1116"/>
      <c r="N15" s="1116"/>
      <c r="O15" s="1116"/>
      <c r="P15" s="1116"/>
      <c r="Q15" s="1116"/>
      <c r="R15" s="1209">
        <v>14</v>
      </c>
      <c r="S15" s="1210"/>
      <c r="T15" s="3360">
        <f t="shared" si="0"/>
        <v>0</v>
      </c>
      <c r="U15" s="1210"/>
      <c r="V15" s="3360">
        <f t="shared" si="1"/>
        <v>0</v>
      </c>
      <c r="W15" s="1213"/>
      <c r="X15" s="1213"/>
      <c r="Y15" s="1213"/>
      <c r="Z15" s="1213"/>
      <c r="AA15" s="1213"/>
      <c r="AB15" s="1213"/>
      <c r="AC15" s="1214"/>
      <c r="AD15" s="2786"/>
      <c r="AE15" s="2786"/>
      <c r="AF15" s="2786"/>
      <c r="AG15" s="2786"/>
      <c r="AH15" s="2786"/>
      <c r="AI15" s="2786"/>
      <c r="AJ15" s="2787"/>
    </row>
    <row r="16" spans="1:36" ht="15.6" thickBot="1">
      <c r="A16" s="3296"/>
      <c r="B16" s="3318" t="s">
        <v>1989</v>
      </c>
      <c r="C16" s="3316"/>
      <c r="D16" s="3316"/>
      <c r="E16" s="3316"/>
      <c r="F16" s="3316">
        <v>1</v>
      </c>
      <c r="G16" s="3316">
        <v>1</v>
      </c>
      <c r="H16" s="3316">
        <v>1</v>
      </c>
      <c r="I16" s="3316">
        <v>1</v>
      </c>
      <c r="J16" s="3317">
        <v>1</v>
      </c>
      <c r="K16" s="1116"/>
      <c r="L16" s="1994"/>
      <c r="M16" s="1994"/>
      <c r="N16" s="1994"/>
      <c r="O16" s="1994"/>
      <c r="P16" s="1994"/>
      <c r="Q16" s="1116"/>
      <c r="R16" s="1209">
        <v>15</v>
      </c>
      <c r="S16" s="1210"/>
      <c r="T16" s="3360">
        <f t="shared" si="0"/>
        <v>0</v>
      </c>
      <c r="U16" s="1210"/>
      <c r="V16" s="3360">
        <f t="shared" si="1"/>
        <v>0</v>
      </c>
      <c r="W16" s="1213"/>
      <c r="X16" s="1213"/>
      <c r="Y16" s="1213"/>
      <c r="Z16" s="1213"/>
      <c r="AA16" s="1213"/>
      <c r="AB16" s="1213"/>
      <c r="AC16" s="1214"/>
      <c r="AD16" s="2786"/>
      <c r="AE16" s="2786"/>
      <c r="AF16" s="2786"/>
      <c r="AG16" s="2786"/>
      <c r="AH16" s="2786"/>
      <c r="AI16" s="2786"/>
      <c r="AJ16" s="2787"/>
    </row>
    <row r="17" spans="1:37" ht="24">
      <c r="A17" s="3328" t="s">
        <v>3254</v>
      </c>
      <c r="B17" s="3319" t="s">
        <v>3255</v>
      </c>
      <c r="C17" s="3329">
        <f>ROUND(IF(OR(E2="工业",E2="公共服务"),1,IF(AND(E18=0,E19=0),1,IF(AND(E18=J24,E19=G19),0.8,IF(E19=0,1+E17*(-0.2),1+E17*G17*(-0.2))))),4)</f>
        <v>1</v>
      </c>
      <c r="D17" s="3320" t="s">
        <v>3256</v>
      </c>
      <c r="E17" s="3329">
        <f>ROUND(G18/I18,2)</f>
        <v>0</v>
      </c>
      <c r="F17" s="3320" t="s">
        <v>3259</v>
      </c>
      <c r="G17" s="3329" t="e">
        <f>ROUND(E19/G19,2)</f>
        <v>#DIV/0!</v>
      </c>
      <c r="H17" s="3329"/>
      <c r="I17" s="3329"/>
      <c r="J17" s="3330"/>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3.8">
      <c r="A18" s="3331"/>
      <c r="B18" s="3007"/>
      <c r="C18" s="3326"/>
      <c r="D18" s="3321" t="s">
        <v>3257</v>
      </c>
      <c r="E18" s="3327"/>
      <c r="F18" s="3322" t="s">
        <v>3260</v>
      </c>
      <c r="G18" s="3326">
        <f>ROUND(1-(1/(POWER(1+G24,E18))),4)</f>
        <v>0</v>
      </c>
      <c r="H18" s="3322" t="s">
        <v>3262</v>
      </c>
      <c r="I18" s="3326">
        <f>ROUND(1-(1/(POWER(1+G24,J24))),4)</f>
        <v>0.88249999999999995</v>
      </c>
      <c r="J18" s="3332"/>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4.4" thickBot="1">
      <c r="A19" s="3333"/>
      <c r="B19" s="3334"/>
      <c r="C19" s="3335"/>
      <c r="D19" s="3335" t="s">
        <v>3258</v>
      </c>
      <c r="E19" s="3336"/>
      <c r="F19" s="3337" t="s">
        <v>3261</v>
      </c>
      <c r="G19" s="3336"/>
      <c r="H19" s="3335"/>
      <c r="I19" s="3335"/>
      <c r="J19" s="3338"/>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3.8">
      <c r="A20" s="3657" t="s">
        <v>3263</v>
      </c>
      <c r="B20" s="165" t="s">
        <v>1994</v>
      </c>
      <c r="C20" s="3323">
        <f>ROUND(IF(F21="与级别开发程度一致",0,(G21-E21)/C21),0)</f>
        <v>-36</v>
      </c>
      <c r="D20" s="3339" t="s">
        <v>1998</v>
      </c>
      <c r="E20" s="3340"/>
      <c r="F20" s="3663" t="s">
        <v>1995</v>
      </c>
      <c r="G20" s="3664"/>
      <c r="H20" s="3324" t="s">
        <v>3390</v>
      </c>
      <c r="I20" s="3324" t="s">
        <v>3391</v>
      </c>
      <c r="J20" s="3325" t="s">
        <v>3392</v>
      </c>
      <c r="K20" s="2044" t="s">
        <v>3393</v>
      </c>
      <c r="L20" s="2044" t="s">
        <v>3394</v>
      </c>
      <c r="M20" s="2044" t="s">
        <v>3395</v>
      </c>
      <c r="N20" s="2044"/>
      <c r="O20" s="2045"/>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27" thickBot="1">
      <c r="A21" s="3658"/>
      <c r="B21" s="2161" t="s">
        <v>1997</v>
      </c>
      <c r="C21" s="2162">
        <f>IF(E3="M4科研用地",SUMPRODUCT((修正!A2:A7=E3)*(修正!B1:M1=G2)*(修正!B2:M7)),SUMPRODUCT((修正!A2:A7=E2)*(修正!B1:M1=G2)*(修正!B2:M7)))</f>
        <v>2.5</v>
      </c>
      <c r="D21" s="185" t="str">
        <f>IF(OR(G2="八级",G2="九级",G2="十级",G2="十一级",G2="十二级"),"五通一平","七通一平")</f>
        <v>七通一平</v>
      </c>
      <c r="E21" s="2152">
        <f>SUMPRODUCT((修正!B1:M1=G2)*(修正!B17:M17))</f>
        <v>315</v>
      </c>
      <c r="F21" s="2153" t="s">
        <v>3389</v>
      </c>
      <c r="G21" s="2154">
        <f>SUM(H21:O21)</f>
        <v>225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 thickBot="1">
      <c r="A22" s="2155" t="s">
        <v>363</v>
      </c>
      <c r="B22" s="2156" t="s">
        <v>2000</v>
      </c>
      <c r="C22" s="2157">
        <f>SUMIF(修正!C20:C51,E3,修正!E20:E51)</f>
        <v>1</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7" thickBot="1">
      <c r="A23" s="2047" t="s">
        <v>364</v>
      </c>
      <c r="B23" s="2048" t="s">
        <v>2001</v>
      </c>
      <c r="C23" s="7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1.0229999999999999</v>
      </c>
      <c r="D23" s="2051" t="s">
        <v>2002</v>
      </c>
      <c r="E23" s="759">
        <v>44197</v>
      </c>
      <c r="F23" s="2051" t="s">
        <v>2003</v>
      </c>
      <c r="G23" s="760">
        <f>'数据-取费表'!B2</f>
        <v>44917</v>
      </c>
      <c r="H23" s="3341" t="s">
        <v>3265</v>
      </c>
      <c r="I23" s="3342" t="str">
        <f>IF(H23="季度增幅（自定义）",SUMIF(N25:N28,E2,O25:O28),"")</f>
        <v/>
      </c>
      <c r="J23" s="3343" t="s">
        <v>3264</v>
      </c>
      <c r="K23" s="1122"/>
      <c r="L23" s="2052" t="s">
        <v>2004</v>
      </c>
      <c r="M23" s="1325">
        <f>ROUND(SUMIF(地价!B2:G2,E2,地价!B16:G16),0)</f>
        <v>350</v>
      </c>
      <c r="N23" s="2053" t="s">
        <v>2005</v>
      </c>
      <c r="O23" s="761">
        <f>ROUNDDOWN(DATEDIF(E23,G23,"M")/3,0)</f>
        <v>7</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6" thickBot="1">
      <c r="A24" s="2055" t="s">
        <v>365</v>
      </c>
      <c r="B24" s="2056" t="s">
        <v>2006</v>
      </c>
      <c r="C24" s="762">
        <f>ROUND(POWER(1+G24,J24-I24)*(POWER(1+G24,I24)-1)/(POWER(1+G24,J24)-1),4)</f>
        <v>0.73099999999999998</v>
      </c>
      <c r="D24" s="2057" t="s">
        <v>2007</v>
      </c>
      <c r="E24" s="1332">
        <f>存贷款利率!E22/100</f>
        <v>4.3499999999999997E-2</v>
      </c>
      <c r="F24" s="2057" t="s">
        <v>1999</v>
      </c>
      <c r="G24" s="766">
        <f>SUMIF(M30:Q30,E2,M33:Q33)</f>
        <v>5.5E-2</v>
      </c>
      <c r="H24" s="2057" t="s">
        <v>2008</v>
      </c>
      <c r="I24" s="767">
        <f>SUMIF('数据-取费表'!C6:C15,E2,'数据-取费表'!F6:F15)/COUNTIF('数据-取费表'!C6:C15,E2)</f>
        <v>19.350000000000001</v>
      </c>
      <c r="J24" s="768">
        <f>IF(E2="住宅",70,IF(E2="商业",40,50))</f>
        <v>40</v>
      </c>
      <c r="K24" s="1122"/>
      <c r="L24" s="2058" t="s">
        <v>2009</v>
      </c>
      <c r="M24" s="1326">
        <f>ROUND(SUMPRODUCT((地价!A4:A16=YEAR(G23)&amp;"-"&amp;ROUNDUP(MONTH(G23)/3,0))*(地价!B2:G2=E2)*(地价!B4:G16)),0)</f>
        <v>353</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4.4">
      <c r="A25" s="2062" t="s">
        <v>366</v>
      </c>
      <c r="B25" s="2063" t="s">
        <v>3405</v>
      </c>
      <c r="C25" s="769">
        <f>IF(B25="容积率修正",IF(G3&lt;10,D26,J26),C27)</f>
        <v>1.2299</v>
      </c>
      <c r="D25" s="2064"/>
      <c r="E25" s="2064"/>
      <c r="F25" s="2064"/>
      <c r="G25" s="2064"/>
      <c r="H25" s="2064"/>
      <c r="I25" s="2064"/>
      <c r="J25" s="2065"/>
      <c r="K25" s="1122"/>
      <c r="L25" s="2785"/>
      <c r="M25" s="2785"/>
      <c r="N25" s="2066" t="s">
        <v>2013</v>
      </c>
      <c r="O25" s="1170"/>
      <c r="P25" s="1171">
        <f>SUMPRODUCT((地价!A3:A40=YEAR(G23)&amp;"-"&amp;ROUNDUP(MONTH(G23)/3,0))*(地价!AD2:AH2=N25)*(地价!AD3:AH40))</f>
        <v>9.7000000000000003E-3</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4">
      <c r="A26" s="1952" t="s">
        <v>2014</v>
      </c>
      <c r="B26" s="2067" t="s">
        <v>2015</v>
      </c>
      <c r="C26" s="3344" t="s">
        <v>3266</v>
      </c>
      <c r="D26" s="1349">
        <f>IF(E26=G26,F26,IF(G3&lt;10,ROUND(F26+(H26-F26)*(G3-E26)/(G26-E26),4),"——"))</f>
        <v>1.2299</v>
      </c>
      <c r="E26" s="750">
        <f>ROUNDDOWN(G3,1)</f>
        <v>1</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750">
        <f>ROUNDUP(G3,1)</f>
        <v>1</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3344" t="s">
        <v>3267</v>
      </c>
      <c r="J26" s="770" t="str">
        <f>IF(G3&gt;=10,D115,"——")</f>
        <v>——</v>
      </c>
      <c r="K26" s="1122"/>
      <c r="L26" s="2785"/>
      <c r="M26" s="2785"/>
      <c r="N26" s="2066" t="s">
        <v>2016</v>
      </c>
      <c r="O26" s="1170"/>
      <c r="P26" s="1171">
        <f>SUMPRODUCT((地价!A3:A40=YEAR(G23)&amp;"-"&amp;ROUNDUP(MONTH(G23)/3,0))*(地价!AD2:AH2=N26)*(地价!AD3:AH40))</f>
        <v>9.7000000000000003E-3</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 thickBot="1">
      <c r="A27" s="1952" t="s">
        <v>2017</v>
      </c>
      <c r="B27" s="2068" t="s">
        <v>2018</v>
      </c>
      <c r="C27" s="839">
        <f>ROUND(IF(I3&lt;6,SUMPRODUCT((B106:B110=I3)*(C105:N105=G2)*(C106:N110)),SUMIF(C105:N105,G2,C112:N112)),4)</f>
        <v>1.5019</v>
      </c>
      <c r="D27" s="2043"/>
      <c r="E27" s="2043"/>
      <c r="F27" s="2069"/>
      <c r="G27" s="2070"/>
      <c r="H27" s="2071"/>
      <c r="I27" s="2072"/>
      <c r="J27" s="2073"/>
      <c r="K27" s="1116"/>
      <c r="L27" s="1994"/>
      <c r="M27" s="1994"/>
      <c r="N27" s="2066" t="s">
        <v>2019</v>
      </c>
      <c r="O27" s="1170"/>
      <c r="P27" s="1171">
        <f>SUMPRODUCT((地价!A3:A40=YEAR(G23)&amp;"-"&amp;ROUNDUP(MONTH(G23)/3,0))*(地价!AD2:AH2=N27)*(地价!AD3:AH40))</f>
        <v>1.66E-2</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 thickBot="1">
      <c r="A28" s="2055" t="s">
        <v>367</v>
      </c>
      <c r="B28" s="2048" t="s">
        <v>2020</v>
      </c>
      <c r="C28" s="758">
        <f>SUMIF(A47:A101,E2,B47:B101)</f>
        <v>1.05</v>
      </c>
      <c r="D28" s="2049"/>
      <c r="E28" s="2074"/>
      <c r="F28" s="2074"/>
      <c r="G28" s="2074"/>
      <c r="H28" s="2074"/>
      <c r="I28" s="2074"/>
      <c r="J28" s="2075"/>
      <c r="K28" s="1122"/>
      <c r="L28" s="2785"/>
      <c r="M28" s="2785"/>
      <c r="N28" s="2076" t="s">
        <v>2021</v>
      </c>
      <c r="O28" s="1172"/>
      <c r="P28" s="1173">
        <f>SUMPRODUCT((地价!A3:A40=YEAR(G23)&amp;"-"&amp;ROUNDUP(MONTH(G23)/3,0))*(地价!AD2:AH2=N28)*(地价!AD3:AH40))</f>
        <v>1.0999999999999999E-2</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 thickBot="1">
      <c r="A29" s="2055" t="s">
        <v>368</v>
      </c>
      <c r="B29" s="2077" t="s">
        <v>2022</v>
      </c>
      <c r="C29" s="763"/>
      <c r="D29" s="2021"/>
      <c r="E29" s="2021"/>
      <c r="F29" s="2078"/>
      <c r="G29" s="2021"/>
      <c r="H29" s="2021"/>
      <c r="I29" s="2021"/>
      <c r="J29" s="2022"/>
      <c r="K29" s="1116"/>
      <c r="L29" s="1994"/>
      <c r="M29" s="1994"/>
      <c r="N29" s="2782" t="s">
        <v>2023</v>
      </c>
      <c r="O29" s="2783"/>
      <c r="P29" s="2784">
        <f>SUMPRODUCT((地价!A3:A40=YEAR(G23)&amp;"-"&amp;ROUNDUP(MONTH(G23)/3,0))*(地价!AD2:AH2=N29)*(地价!AD3:AH40))</f>
        <v>1.55E-2</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4.4">
      <c r="A30" s="2079"/>
      <c r="B30" s="2067" t="s">
        <v>2024</v>
      </c>
      <c r="C30" s="2318">
        <f>IF(B25="容积率修正",E33+SUM(E37:E42),SUM(V2:V16)+SUM(E37:E42))</f>
        <v>3351</v>
      </c>
      <c r="D30" s="2080"/>
      <c r="E30" s="2043"/>
      <c r="F30" s="2081"/>
      <c r="G30" s="2043"/>
      <c r="H30" s="2043"/>
      <c r="I30" s="2043"/>
      <c r="J30" s="2082"/>
      <c r="K30" s="1116"/>
      <c r="L30" s="3350" t="s">
        <v>1936</v>
      </c>
      <c r="M30" s="3351" t="s">
        <v>1990</v>
      </c>
      <c r="N30" s="3351" t="s">
        <v>1991</v>
      </c>
      <c r="O30" s="3351" t="s">
        <v>1992</v>
      </c>
      <c r="P30" s="3351" t="s">
        <v>1993</v>
      </c>
      <c r="Q30" s="3354" t="s">
        <v>3271</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 thickBot="1">
      <c r="A31" s="2079"/>
      <c r="B31" s="2083" t="s">
        <v>2025</v>
      </c>
      <c r="C31" s="764">
        <f>E34+SUM(I37:I42)</f>
        <v>0</v>
      </c>
      <c r="D31" s="2084"/>
      <c r="E31" s="2085"/>
      <c r="F31" s="2086"/>
      <c r="G31" s="2085"/>
      <c r="H31" s="2085"/>
      <c r="I31" s="2085"/>
      <c r="J31" s="2087"/>
      <c r="K31" s="1116"/>
      <c r="L31" s="3352" t="s">
        <v>1996</v>
      </c>
      <c r="M31" s="1997">
        <v>0.25</v>
      </c>
      <c r="N31" s="1997">
        <v>0.2</v>
      </c>
      <c r="O31" s="1997">
        <v>0.15</v>
      </c>
      <c r="P31" s="1997">
        <v>0.1</v>
      </c>
      <c r="Q31" s="3347">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 thickBot="1">
      <c r="A32" s="2088"/>
      <c r="B32" s="2089" t="s">
        <v>2026</v>
      </c>
      <c r="C32" s="2090" t="s">
        <v>2027</v>
      </c>
      <c r="D32" s="2090" t="s">
        <v>2028</v>
      </c>
      <c r="E32" s="2091" t="s">
        <v>2029</v>
      </c>
      <c r="F32" s="2092"/>
      <c r="G32" s="2034"/>
      <c r="H32" s="2034"/>
      <c r="I32" s="2034"/>
      <c r="J32" s="2035"/>
      <c r="K32" s="1116"/>
      <c r="L32" s="3353" t="s">
        <v>1999</v>
      </c>
      <c r="M32" s="2567">
        <f>ROUND($E$24*(1+M31),3)</f>
        <v>5.3999999999999999E-2</v>
      </c>
      <c r="N32" s="2567">
        <f>ROUND($E$24*(1+N31),3)</f>
        <v>5.1999999999999998E-2</v>
      </c>
      <c r="O32" s="2567">
        <f>ROUND($E$24*(1+O31),3)</f>
        <v>0.05</v>
      </c>
      <c r="P32" s="2567">
        <f>ROUND($E$24*(1+P31),3)</f>
        <v>4.8000000000000001E-2</v>
      </c>
      <c r="Q32" s="3355">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3.8">
      <c r="A33" s="2093"/>
      <c r="B33" s="2094" t="s">
        <v>2030</v>
      </c>
      <c r="C33" s="173">
        <f>ROUND(C5*C22*C23*C24*C25*C28,0)</f>
        <v>15030</v>
      </c>
      <c r="D33" s="2095">
        <f>'数据-汇总表'!D3</f>
        <v>2229.4899999999998</v>
      </c>
      <c r="E33" s="771">
        <f>ROUND(C33*D33/10000,0)</f>
        <v>3351</v>
      </c>
      <c r="F33" s="3345" t="s">
        <v>3269</v>
      </c>
      <c r="G33" s="2096"/>
      <c r="H33" s="2096"/>
      <c r="I33" s="2096"/>
      <c r="J33" s="2097"/>
      <c r="K33" s="1116"/>
      <c r="L33" s="3348" t="s">
        <v>3272</v>
      </c>
      <c r="M33" s="3349">
        <v>5.5E-2</v>
      </c>
      <c r="N33" s="3349">
        <v>5.5E-2</v>
      </c>
      <c r="O33" s="3349">
        <v>0.05</v>
      </c>
      <c r="P33" s="3349">
        <v>0.05</v>
      </c>
      <c r="Q33" s="3349">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8" thickBot="1">
      <c r="A34" s="2098"/>
      <c r="B34" s="2099" t="s">
        <v>2031</v>
      </c>
      <c r="C34" s="185">
        <f>ROUND(IF(E2="工业",C33*M42,IF(B25="楼层修正",SUM(V2:V16)*M41*10000/D34,C33*M41)),0)</f>
        <v>3758</v>
      </c>
      <c r="D34" s="2100"/>
      <c r="E34" s="771">
        <f>ROUND(IF(B25="楼层修正",SUM(V2:V16)*M40,C34*D34/10000),0)</f>
        <v>0</v>
      </c>
      <c r="F34" s="2101" t="s">
        <v>2032</v>
      </c>
      <c r="G34" s="2102"/>
      <c r="H34" s="2102"/>
      <c r="I34" s="2102"/>
      <c r="J34" s="2103"/>
      <c r="K34" s="1116"/>
      <c r="L34" s="3348" t="s">
        <v>3273</v>
      </c>
      <c r="M34" s="3349">
        <v>6.5000000000000002E-2</v>
      </c>
      <c r="N34" s="3349">
        <v>6.5000000000000002E-2</v>
      </c>
      <c r="O34" s="3349">
        <v>0.06</v>
      </c>
      <c r="P34" s="3349">
        <v>0.06</v>
      </c>
      <c r="Q34" s="3349">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6" t="s">
        <v>3270</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36.6" thickBot="1">
      <c r="A36" s="2093"/>
      <c r="B36" s="2108"/>
      <c r="C36" s="448" t="s">
        <v>2027</v>
      </c>
      <c r="D36" s="445" t="s">
        <v>2028</v>
      </c>
      <c r="E36" s="445" t="s">
        <v>2029</v>
      </c>
      <c r="F36" s="340" t="s">
        <v>2035</v>
      </c>
      <c r="G36" s="2109" t="s">
        <v>2027</v>
      </c>
      <c r="H36" s="2109" t="s">
        <v>2028</v>
      </c>
      <c r="I36" s="2109" t="s">
        <v>2029</v>
      </c>
      <c r="J36" s="241"/>
      <c r="K36" s="3356" t="s">
        <v>3274</v>
      </c>
      <c r="L36" s="3356">
        <v>3.6999999999999998E-2</v>
      </c>
      <c r="M36" s="3357">
        <f>ROUND($L$36*(1+M31),3)</f>
        <v>4.5999999999999999E-2</v>
      </c>
      <c r="N36" s="3357">
        <f>ROUND($L$36*(1+N31),3)</f>
        <v>4.3999999999999997E-2</v>
      </c>
      <c r="O36" s="3357">
        <f>ROUND($L$36*(1+O31),3)</f>
        <v>4.2999999999999997E-2</v>
      </c>
      <c r="P36" s="3357">
        <f>ROUND($L$36*(1+P31),3)</f>
        <v>4.1000000000000002E-2</v>
      </c>
      <c r="Q36" s="3357">
        <f>ROUND($L$36*(1+Q31),3)</f>
        <v>4.2999999999999997E-2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6" thickBot="1">
      <c r="A37" s="3661"/>
      <c r="B37" s="2110" t="s">
        <v>2036</v>
      </c>
      <c r="C37" s="173">
        <f>ROUND(D5*C22*C23*C24*C28*F37,0)</f>
        <v>7333</v>
      </c>
      <c r="D37" s="2095"/>
      <c r="E37" s="169">
        <f>ROUND(C37*D37/10000,0)</f>
        <v>0</v>
      </c>
      <c r="F37" s="169">
        <f>SUMIF(修正!A57:A68,G2,修正!B57:B68)</f>
        <v>0.6</v>
      </c>
      <c r="G37" s="169">
        <f>ROUND(IF(E2="工业",C37*$M$42,C37*$M$41),0)</f>
        <v>1833</v>
      </c>
      <c r="H37" s="169">
        <f>D37</f>
        <v>0</v>
      </c>
      <c r="I37" s="169">
        <f>ROUND(G37*H37/10000,0)</f>
        <v>0</v>
      </c>
      <c r="J37" s="3009"/>
      <c r="K37" s="3358" t="s">
        <v>3275</v>
      </c>
      <c r="L37" s="3356">
        <f>L36+K38</f>
        <v>4.1999999999999996E-2</v>
      </c>
      <c r="M37" s="3357">
        <f>ROUND($L$37*(1+M31),3)</f>
        <v>5.2999999999999999E-2</v>
      </c>
      <c r="N37" s="3357">
        <f t="shared" ref="N37:Q37" si="3">ROUND($L$37*(1+N31),3)</f>
        <v>0.05</v>
      </c>
      <c r="O37" s="3357">
        <f t="shared" si="3"/>
        <v>4.8000000000000001E-2</v>
      </c>
      <c r="P37" s="3357">
        <f t="shared" si="3"/>
        <v>4.5999999999999999E-2</v>
      </c>
      <c r="Q37" s="3357">
        <f t="shared" si="3"/>
        <v>4.8000000000000001E-2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662"/>
      <c r="B38" s="2038" t="s">
        <v>2037</v>
      </c>
      <c r="C38" s="173">
        <f>ROUND(D5*C22*C23*C24*C28*F38,0)</f>
        <v>3666</v>
      </c>
      <c r="D38" s="2095"/>
      <c r="E38" s="169">
        <f t="shared" ref="E38:E42" si="4">ROUND(C38*D38/10000,0)</f>
        <v>0</v>
      </c>
      <c r="F38" s="169">
        <f>SUMIF(修正!A57:A68,G2,修正!C57:C68)</f>
        <v>0.3</v>
      </c>
      <c r="G38" s="169">
        <f>ROUND(IF(E2="工业",C38*$M$42,C38*$M$41),0)</f>
        <v>917</v>
      </c>
      <c r="H38" s="169">
        <f t="shared" ref="H38:H42" si="5">D38</f>
        <v>0</v>
      </c>
      <c r="I38" s="169">
        <f t="shared" ref="I38:I42" si="6">ROUND(G38*H38/10000,0)</f>
        <v>0</v>
      </c>
      <c r="J38" s="3008"/>
      <c r="K38" s="3356">
        <v>5.0000000000000001E-3</v>
      </c>
      <c r="L38" s="3356"/>
      <c r="M38" s="3356"/>
      <c r="N38" s="3356"/>
      <c r="O38" s="3356"/>
      <c r="P38" s="3356"/>
      <c r="Q38" s="3356"/>
      <c r="R38" s="1116"/>
      <c r="S38" s="1116"/>
      <c r="T38" s="1116"/>
      <c r="U38" s="1116"/>
      <c r="V38" s="1116"/>
      <c r="W38" s="1116"/>
      <c r="X38" s="1116"/>
      <c r="Y38" s="1116"/>
      <c r="Z38" s="1117"/>
      <c r="AA38" s="1117"/>
      <c r="AB38" s="1117"/>
      <c r="AC38" s="1117"/>
      <c r="AD38" s="1117"/>
    </row>
    <row r="39" spans="1:37" ht="13.8" thickBot="1">
      <c r="A39" s="3662"/>
      <c r="B39" s="2038" t="s">
        <v>3268</v>
      </c>
      <c r="C39" s="173">
        <f>ROUND(D5*C22*C23*C24*C28*F39,0)</f>
        <v>3055</v>
      </c>
      <c r="D39" s="2095"/>
      <c r="E39" s="169">
        <f t="shared" si="4"/>
        <v>0</v>
      </c>
      <c r="F39" s="169">
        <f>SUMIF(修正!A57:A68,G2,修正!D57:D68)</f>
        <v>0.25</v>
      </c>
      <c r="G39" s="169">
        <f>ROUND(IF(E2="工业",C39*$M$42,C39*$M$41),0)</f>
        <v>764</v>
      </c>
      <c r="H39" s="169">
        <f t="shared" si="5"/>
        <v>0</v>
      </c>
      <c r="I39" s="169">
        <f t="shared" si="6"/>
        <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69">
        <f>ROUND(D5*C22*C23*C24*C28*F40,0)</f>
        <v>3055</v>
      </c>
      <c r="D40" s="2095"/>
      <c r="E40" s="169">
        <f t="shared" si="4"/>
        <v>0</v>
      </c>
      <c r="F40" s="173">
        <f>SUMIF(修正!A57:A68,G2,修正!E57:E68)</f>
        <v>0.25</v>
      </c>
      <c r="G40" s="169">
        <f>ROUND(IF(E2="工业",C40*$M$42,C40*$M$41),0)</f>
        <v>764</v>
      </c>
      <c r="H40" s="169">
        <f t="shared" si="5"/>
        <v>0</v>
      </c>
      <c r="I40" s="169">
        <f t="shared" si="6"/>
        <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69">
        <f>ROUND(D5*C22*C23*C44*C28*F41,0)</f>
        <v>0</v>
      </c>
      <c r="D41" s="2095"/>
      <c r="E41" s="169">
        <f t="shared" si="4"/>
        <v>0</v>
      </c>
      <c r="F41" s="173">
        <f>SUMIF(修正!A57:A68,G2,修正!F57:F68)</f>
        <v>0.25</v>
      </c>
      <c r="G41" s="169">
        <f>ROUND(IF(E2="工业",C41*$M$42,C41*$M$41),0)</f>
        <v>0</v>
      </c>
      <c r="H41" s="169">
        <f t="shared" si="5"/>
        <v>0</v>
      </c>
      <c r="I41" s="169">
        <f t="shared" si="6"/>
        <v>0</v>
      </c>
      <c r="J41" s="2111"/>
      <c r="L41" s="3359" t="s">
        <v>3276</v>
      </c>
      <c r="M41" s="2115">
        <v>0.25</v>
      </c>
      <c r="Z41" s="1117"/>
      <c r="AA41" s="1117"/>
      <c r="AB41" s="1117"/>
      <c r="AC41" s="1117"/>
      <c r="AD41" s="1117"/>
      <c r="AE41" s="1117"/>
      <c r="AF41" s="1117"/>
      <c r="AG41" s="1117"/>
      <c r="AH41" s="1117"/>
      <c r="AI41" s="1117"/>
      <c r="AJ41" s="1117"/>
    </row>
    <row r="42" spans="1:37" s="1116" customFormat="1" ht="13.8" thickBot="1">
      <c r="A42" s="2098"/>
      <c r="B42" s="2116" t="s">
        <v>2041</v>
      </c>
      <c r="C42" s="185">
        <f>ROUND(D5*C22*C23*C44*C28*F42,0)</f>
        <v>0</v>
      </c>
      <c r="D42" s="2100"/>
      <c r="E42" s="185">
        <f t="shared" si="4"/>
        <v>0</v>
      </c>
      <c r="F42" s="765">
        <f>SUMIF(修正!A57:A68,G2,修正!G57:G68)</f>
        <v>0.15</v>
      </c>
      <c r="G42" s="185">
        <f>ROUND(IF(E2="工业",C42*$M$42,C42*$M$41),0)</f>
        <v>0</v>
      </c>
      <c r="H42" s="185">
        <f t="shared" si="5"/>
        <v>0</v>
      </c>
      <c r="I42" s="185">
        <f t="shared" si="6"/>
        <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ht="24">
      <c r="A44" s="1117"/>
      <c r="B44" s="2151" t="s">
        <v>2122</v>
      </c>
      <c r="C44" s="340">
        <f>ROUND(POWER(1+E44,H44-G44)*(POWER(1+E44,G44)-1)/(POWER(1+E44,H44)-1),4)</f>
        <v>0</v>
      </c>
      <c r="D44" s="169" t="s">
        <v>1999</v>
      </c>
      <c r="E44" s="2150">
        <f>G24</f>
        <v>5.5E-2</v>
      </c>
      <c r="F44" s="169" t="s">
        <v>2008</v>
      </c>
      <c r="G44" s="181"/>
      <c r="H44" s="169">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4.4">
      <c r="A48" s="2123" t="s">
        <v>2043</v>
      </c>
      <c r="B48" s="2124">
        <f>1+E50</f>
        <v>1.05</v>
      </c>
      <c r="C48" s="2125"/>
      <c r="D48" s="739"/>
      <c r="E48" s="740"/>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5.2">
      <c r="A49" s="2127" t="s">
        <v>2044</v>
      </c>
      <c r="B49" s="1348" t="s">
        <v>2045</v>
      </c>
      <c r="C49" s="1348" t="s">
        <v>2046</v>
      </c>
      <c r="D49" s="1348" t="s">
        <v>2047</v>
      </c>
      <c r="E49" s="741" t="s">
        <v>2048</v>
      </c>
      <c r="F49" s="2128" t="s">
        <v>2049</v>
      </c>
      <c r="G49" s="1348" t="s">
        <v>310</v>
      </c>
      <c r="H49" s="2129" t="s">
        <v>2050</v>
      </c>
      <c r="I49" s="1348" t="s">
        <v>2051</v>
      </c>
      <c r="J49" s="550" t="s">
        <v>1721</v>
      </c>
      <c r="K49" s="550" t="s">
        <v>1722</v>
      </c>
      <c r="L49" s="550" t="s">
        <v>1723</v>
      </c>
      <c r="M49" s="550" t="s">
        <v>1724</v>
      </c>
      <c r="N49" s="550" t="s">
        <v>1725</v>
      </c>
      <c r="AA49" s="1117"/>
      <c r="AB49" s="1117"/>
      <c r="AC49" s="1117"/>
      <c r="AD49" s="1117"/>
      <c r="AE49" s="1117"/>
      <c r="AF49" s="1117"/>
      <c r="AG49" s="1117"/>
      <c r="AH49" s="1117"/>
      <c r="AI49" s="1117"/>
      <c r="AJ49" s="1117"/>
      <c r="AK49" s="1117"/>
    </row>
    <row r="50" spans="1:37" s="1116" customFormat="1" ht="39.6">
      <c r="A50" s="2127" t="s">
        <v>2052</v>
      </c>
      <c r="B50" s="2130" t="str">
        <f>估价对象房地状况!C4</f>
        <v>估价对象位于XX商圈，周边商业氛围成熟，人流量大，商业繁华度好</v>
      </c>
      <c r="C50" s="2041" t="s">
        <v>3396</v>
      </c>
      <c r="D50" s="1062">
        <f t="shared" ref="D50:D58" si="7">SUMIF($J$49:$N$49,C50,J50:N50)</f>
        <v>1.4999999999999999E-2</v>
      </c>
      <c r="E50" s="742">
        <f>ROUND(SUM(D50:D58),4)</f>
        <v>0.05</v>
      </c>
      <c r="F50" s="1811">
        <f>IF(E2="商业",SUMIF(L1:L12,G2,N1:N12),"——")</f>
        <v>0.1</v>
      </c>
      <c r="G50" s="1060">
        <f>H50</f>
        <v>1.4999999999999999E-2</v>
      </c>
      <c r="H50" s="1063">
        <f t="shared" ref="H50:H58" si="8">IFERROR(ROUNDDOWN($F$50*I50/2,4),"——")</f>
        <v>1.4999999999999999E-2</v>
      </c>
      <c r="I50" s="3366">
        <v>0.3</v>
      </c>
      <c r="J50" s="1061">
        <f t="shared" ref="J50:J58" si="9">K50+$G50</f>
        <v>0.03</v>
      </c>
      <c r="K50" s="1061">
        <f t="shared" ref="K50:K58" si="10">$L50+$G50</f>
        <v>1.4999999999999999E-2</v>
      </c>
      <c r="L50" s="1061">
        <v>0</v>
      </c>
      <c r="M50" s="1061">
        <f t="shared" ref="M50:N58" si="11">L50-$G50</f>
        <v>-1.4999999999999999E-2</v>
      </c>
      <c r="N50" s="1061">
        <f t="shared" si="11"/>
        <v>-0.03</v>
      </c>
      <c r="AA50" s="1117"/>
      <c r="AB50" s="1117"/>
      <c r="AC50" s="1117"/>
      <c r="AD50" s="1117"/>
      <c r="AE50" s="1117"/>
      <c r="AF50" s="1117"/>
      <c r="AG50" s="1117"/>
      <c r="AH50" s="1117"/>
      <c r="AI50" s="1117"/>
      <c r="AJ50" s="1117"/>
      <c r="AK50" s="1117"/>
    </row>
    <row r="51" spans="1:37" s="1116" customFormat="1" ht="52.8">
      <c r="A51" s="2127" t="s">
        <v>2053</v>
      </c>
      <c r="B51" s="2131" t="str">
        <f>估价对象房地状况!C18</f>
        <v>估价对象周边道路状况、公共交通通达情况、停车便捷程度，综合评价交通便捷度较好</v>
      </c>
      <c r="C51" s="2041" t="s">
        <v>3396</v>
      </c>
      <c r="D51" s="1062">
        <f t="shared" si="7"/>
        <v>1.0999999999999999E-2</v>
      </c>
      <c r="E51" s="743"/>
      <c r="F51" s="1811"/>
      <c r="G51" s="1060">
        <f t="shared" ref="G51:G58" si="12">H51</f>
        <v>1.0999999999999999E-2</v>
      </c>
      <c r="H51" s="1063">
        <f t="shared" si="8"/>
        <v>1.0999999999999999E-2</v>
      </c>
      <c r="I51" s="3366">
        <v>0.22</v>
      </c>
      <c r="J51" s="1061">
        <f t="shared" si="9"/>
        <v>2.1999999999999999E-2</v>
      </c>
      <c r="K51" s="1061">
        <f t="shared" si="10"/>
        <v>1.0999999999999999E-2</v>
      </c>
      <c r="L51" s="1061">
        <v>0</v>
      </c>
      <c r="M51" s="1061">
        <f t="shared" si="11"/>
        <v>-1.0999999999999999E-2</v>
      </c>
      <c r="N51" s="1061">
        <f t="shared" si="11"/>
        <v>-2.1999999999999999E-2</v>
      </c>
      <c r="AA51" s="1117"/>
      <c r="AB51" s="1117"/>
      <c r="AC51" s="1117"/>
      <c r="AD51" s="1117"/>
      <c r="AE51" s="1117"/>
      <c r="AF51" s="1117"/>
      <c r="AG51" s="1117"/>
      <c r="AH51" s="1117"/>
      <c r="AI51" s="1117"/>
      <c r="AJ51" s="1117"/>
      <c r="AK51" s="1117"/>
    </row>
    <row r="52" spans="1:37" s="1116" customFormat="1" ht="48">
      <c r="A52" s="3368" t="s">
        <v>3278</v>
      </c>
      <c r="B52" s="2131">
        <f>估价对象房地状况!C19</f>
        <v>0</v>
      </c>
      <c r="C52" s="2041" t="s">
        <v>3396</v>
      </c>
      <c r="D52" s="1062">
        <f t="shared" si="7"/>
        <v>6.0000000000000001E-3</v>
      </c>
      <c r="E52" s="743"/>
      <c r="F52" s="1811"/>
      <c r="G52" s="1060">
        <f t="shared" si="12"/>
        <v>6.0000000000000001E-3</v>
      </c>
      <c r="H52" s="1063">
        <f t="shared" si="8"/>
        <v>6.0000000000000001E-3</v>
      </c>
      <c r="I52" s="3366">
        <v>0.12</v>
      </c>
      <c r="J52" s="1061">
        <f t="shared" si="9"/>
        <v>1.2E-2</v>
      </c>
      <c r="K52" s="1061">
        <f t="shared" si="10"/>
        <v>6.0000000000000001E-3</v>
      </c>
      <c r="L52" s="1061">
        <v>0</v>
      </c>
      <c r="M52" s="1061">
        <f t="shared" si="11"/>
        <v>-6.0000000000000001E-3</v>
      </c>
      <c r="N52" s="1061">
        <f t="shared" si="11"/>
        <v>-1.2E-2</v>
      </c>
      <c r="AA52" s="1117"/>
      <c r="AB52" s="1117"/>
      <c r="AC52" s="1117"/>
      <c r="AD52" s="1117"/>
      <c r="AE52" s="1117"/>
      <c r="AF52" s="1117"/>
      <c r="AG52" s="1117"/>
      <c r="AH52" s="1117"/>
      <c r="AI52" s="1117"/>
      <c r="AJ52" s="1117"/>
      <c r="AK52" s="1117"/>
    </row>
    <row r="53" spans="1:37" s="1116" customFormat="1" ht="37.200000000000003">
      <c r="A53" s="2127" t="s">
        <v>2054</v>
      </c>
      <c r="B53" s="2132" t="s">
        <v>2055</v>
      </c>
      <c r="C53" s="2041" t="s">
        <v>3396</v>
      </c>
      <c r="D53" s="1062">
        <f t="shared" si="7"/>
        <v>2.5000000000000001E-3</v>
      </c>
      <c r="E53" s="743"/>
      <c r="F53" s="1811"/>
      <c r="G53" s="1060">
        <f t="shared" si="12"/>
        <v>2.5000000000000001E-3</v>
      </c>
      <c r="H53" s="1063">
        <f t="shared" si="8"/>
        <v>2.5000000000000001E-3</v>
      </c>
      <c r="I53" s="3366">
        <v>0.05</v>
      </c>
      <c r="J53" s="1061">
        <f t="shared" si="9"/>
        <v>5.0000000000000001E-3</v>
      </c>
      <c r="K53" s="1061">
        <f t="shared" si="10"/>
        <v>2.5000000000000001E-3</v>
      </c>
      <c r="L53" s="1061">
        <v>0</v>
      </c>
      <c r="M53" s="1061">
        <f t="shared" si="11"/>
        <v>-2.5000000000000001E-3</v>
      </c>
      <c r="N53" s="1061">
        <f t="shared" si="11"/>
        <v>-5.0000000000000001E-3</v>
      </c>
      <c r="AA53" s="1117"/>
      <c r="AB53" s="1117"/>
      <c r="AC53" s="1117"/>
      <c r="AD53" s="1117"/>
      <c r="AE53" s="1117"/>
      <c r="AF53" s="1117"/>
      <c r="AG53" s="1117"/>
      <c r="AH53" s="1117"/>
      <c r="AI53" s="1117"/>
      <c r="AJ53" s="1117"/>
      <c r="AK53" s="1117"/>
    </row>
    <row r="54" spans="1:37" s="1116" customFormat="1" ht="24">
      <c r="A54" s="2127" t="s">
        <v>2056</v>
      </c>
      <c r="B54" s="2131">
        <f>估价对象房地状况!C24</f>
        <v>0</v>
      </c>
      <c r="C54" s="2041" t="s">
        <v>3397</v>
      </c>
      <c r="D54" s="1062">
        <f t="shared" si="7"/>
        <v>0</v>
      </c>
      <c r="E54" s="743"/>
      <c r="F54" s="1811"/>
      <c r="G54" s="1060">
        <f t="shared" si="12"/>
        <v>4.0000000000000001E-3</v>
      </c>
      <c r="H54" s="1063">
        <f t="shared" si="8"/>
        <v>4.0000000000000001E-3</v>
      </c>
      <c r="I54" s="3366">
        <v>0.08</v>
      </c>
      <c r="J54" s="1061">
        <f t="shared" si="9"/>
        <v>8.0000000000000002E-3</v>
      </c>
      <c r="K54" s="1061">
        <f t="shared" si="10"/>
        <v>4.0000000000000001E-3</v>
      </c>
      <c r="L54" s="1061">
        <v>0</v>
      </c>
      <c r="M54" s="1061">
        <f t="shared" si="11"/>
        <v>-4.0000000000000001E-3</v>
      </c>
      <c r="N54" s="1061">
        <f t="shared" si="11"/>
        <v>-8.0000000000000002E-3</v>
      </c>
      <c r="AA54" s="1117"/>
      <c r="AB54" s="1117"/>
      <c r="AC54" s="1117"/>
      <c r="AD54" s="1117"/>
      <c r="AE54" s="1117"/>
      <c r="AF54" s="1117"/>
      <c r="AG54" s="1117"/>
      <c r="AH54" s="1117"/>
      <c r="AI54" s="1117"/>
      <c r="AJ54" s="1117"/>
      <c r="AK54" s="1117"/>
    </row>
    <row r="55" spans="1:37" s="1116" customFormat="1" ht="36">
      <c r="A55" s="2127" t="s">
        <v>2057</v>
      </c>
      <c r="B55" s="2133" t="s">
        <v>2058</v>
      </c>
      <c r="C55" s="2041" t="s">
        <v>3396</v>
      </c>
      <c r="D55" s="1062">
        <f t="shared" si="7"/>
        <v>2.5000000000000001E-3</v>
      </c>
      <c r="E55" s="743"/>
      <c r="F55" s="1811"/>
      <c r="G55" s="1060">
        <f t="shared" si="12"/>
        <v>2.5000000000000001E-3</v>
      </c>
      <c r="H55" s="1063">
        <f t="shared" si="8"/>
        <v>2.5000000000000001E-3</v>
      </c>
      <c r="I55" s="3366">
        <v>0.05</v>
      </c>
      <c r="J55" s="1061">
        <f t="shared" si="9"/>
        <v>5.0000000000000001E-3</v>
      </c>
      <c r="K55" s="1061">
        <f t="shared" si="10"/>
        <v>2.5000000000000001E-3</v>
      </c>
      <c r="L55" s="1061">
        <v>0</v>
      </c>
      <c r="M55" s="1061">
        <f t="shared" si="11"/>
        <v>-2.5000000000000001E-3</v>
      </c>
      <c r="N55" s="1061">
        <f t="shared" si="11"/>
        <v>-5.0000000000000001E-3</v>
      </c>
      <c r="AA55" s="1117"/>
      <c r="AB55" s="1117"/>
      <c r="AC55" s="1117"/>
      <c r="AD55" s="1117"/>
      <c r="AE55" s="1117"/>
      <c r="AF55" s="1117"/>
      <c r="AG55" s="1117"/>
      <c r="AH55" s="1117"/>
      <c r="AI55" s="1117"/>
      <c r="AJ55" s="1117"/>
      <c r="AK55" s="1117"/>
    </row>
    <row r="56" spans="1:37" s="1116" customFormat="1" ht="26.4">
      <c r="A56" s="2134" t="s">
        <v>2059</v>
      </c>
      <c r="B56" s="1323" t="str">
        <f>估价对象房地状况!C21</f>
        <v>估价对象所在区域公共配套设施齐备情况</v>
      </c>
      <c r="C56" s="2041" t="s">
        <v>3396</v>
      </c>
      <c r="D56" s="1062">
        <f t="shared" si="7"/>
        <v>2.5000000000000001E-3</v>
      </c>
      <c r="E56" s="743"/>
      <c r="F56" s="1811"/>
      <c r="G56" s="1060">
        <f t="shared" si="12"/>
        <v>2.5000000000000001E-3</v>
      </c>
      <c r="H56" s="1063">
        <f t="shared" si="8"/>
        <v>2.5000000000000001E-3</v>
      </c>
      <c r="I56" s="3366">
        <v>0.05</v>
      </c>
      <c r="J56" s="1061">
        <f t="shared" si="9"/>
        <v>5.0000000000000001E-3</v>
      </c>
      <c r="K56" s="1061">
        <f t="shared" si="10"/>
        <v>2.5000000000000001E-3</v>
      </c>
      <c r="L56" s="1061">
        <v>0</v>
      </c>
      <c r="M56" s="1061">
        <f t="shared" si="11"/>
        <v>-2.5000000000000001E-3</v>
      </c>
      <c r="N56" s="1061">
        <f t="shared" si="11"/>
        <v>-5.0000000000000001E-3</v>
      </c>
      <c r="AA56" s="1117"/>
      <c r="AB56" s="1117"/>
      <c r="AC56" s="1117"/>
      <c r="AD56" s="1117"/>
      <c r="AE56" s="1117"/>
      <c r="AF56" s="1117"/>
      <c r="AG56" s="1117"/>
      <c r="AH56" s="1117"/>
      <c r="AI56" s="1117"/>
      <c r="AJ56" s="1117"/>
      <c r="AK56" s="1117"/>
    </row>
    <row r="57" spans="1:37" s="1116" customFormat="1" ht="26.4">
      <c r="A57" s="2134" t="s">
        <v>2060</v>
      </c>
      <c r="B57" s="2131" t="str">
        <f>估价对象房地状况!C22</f>
        <v>估价对象所在区域基础设施水平</v>
      </c>
      <c r="C57" s="2041" t="s">
        <v>3398</v>
      </c>
      <c r="D57" s="1062">
        <f t="shared" si="7"/>
        <v>8.0000000000000002E-3</v>
      </c>
      <c r="E57" s="743"/>
      <c r="F57" s="1811"/>
      <c r="G57" s="1060">
        <f t="shared" si="12"/>
        <v>4.0000000000000001E-3</v>
      </c>
      <c r="H57" s="1063">
        <f t="shared" si="8"/>
        <v>4.0000000000000001E-3</v>
      </c>
      <c r="I57" s="3366">
        <v>0.08</v>
      </c>
      <c r="J57" s="1061">
        <f t="shared" si="9"/>
        <v>8.0000000000000002E-3</v>
      </c>
      <c r="K57" s="1061">
        <f t="shared" si="10"/>
        <v>4.0000000000000001E-3</v>
      </c>
      <c r="L57" s="1061">
        <v>0</v>
      </c>
      <c r="M57" s="1061">
        <f t="shared" si="11"/>
        <v>-4.0000000000000001E-3</v>
      </c>
      <c r="N57" s="1061">
        <f t="shared" si="11"/>
        <v>-8.0000000000000002E-3</v>
      </c>
      <c r="AA57" s="1117"/>
      <c r="AB57" s="1117"/>
      <c r="AC57" s="1117"/>
      <c r="AD57" s="1117"/>
      <c r="AE57" s="1117"/>
      <c r="AF57" s="1117"/>
      <c r="AG57" s="1117"/>
      <c r="AH57" s="1117"/>
      <c r="AI57" s="1117"/>
      <c r="AJ57" s="1117"/>
      <c r="AK57" s="1117"/>
    </row>
    <row r="58" spans="1:37" s="1116" customFormat="1" ht="40.200000000000003" thickBot="1">
      <c r="A58" s="2135" t="s">
        <v>2061</v>
      </c>
      <c r="B58" s="2136" t="str">
        <f>估价对象房地状况!C20</f>
        <v>区域自然环境：；人文环境；综合评价环境状况一般</v>
      </c>
      <c r="C58" s="2041" t="s">
        <v>3396</v>
      </c>
      <c r="D58" s="1062">
        <f t="shared" si="7"/>
        <v>2.5000000000000001E-3</v>
      </c>
      <c r="E58" s="744"/>
      <c r="F58" s="1811"/>
      <c r="G58" s="1060">
        <f t="shared" si="12"/>
        <v>2.5000000000000001E-3</v>
      </c>
      <c r="H58" s="1063">
        <f t="shared" si="8"/>
        <v>2.5000000000000001E-3</v>
      </c>
      <c r="I58" s="3367">
        <v>0.05</v>
      </c>
      <c r="J58" s="1061">
        <f t="shared" si="9"/>
        <v>5.0000000000000001E-3</v>
      </c>
      <c r="K58" s="1061">
        <f t="shared" si="10"/>
        <v>2.5000000000000001E-3</v>
      </c>
      <c r="L58" s="1061">
        <v>0</v>
      </c>
      <c r="M58" s="1061">
        <f t="shared" si="11"/>
        <v>-2.5000000000000001E-3</v>
      </c>
      <c r="N58" s="1061">
        <f t="shared" si="11"/>
        <v>-5.0000000000000001E-3</v>
      </c>
      <c r="AA58" s="1117"/>
      <c r="AB58" s="1117"/>
      <c r="AC58" s="1117"/>
      <c r="AD58" s="1117"/>
      <c r="AE58" s="1117"/>
      <c r="AF58" s="1117"/>
      <c r="AG58" s="1117"/>
      <c r="AH58" s="1117"/>
      <c r="AI58" s="1117"/>
      <c r="AJ58" s="1117"/>
      <c r="AK58" s="1117"/>
    </row>
    <row r="59" spans="1:37" s="1116" customFormat="1" ht="14.4">
      <c r="A59" s="2123" t="s">
        <v>2062</v>
      </c>
      <c r="B59" s="2124">
        <f>1+E61</f>
        <v>1</v>
      </c>
      <c r="C59" s="739"/>
      <c r="D59" s="739"/>
      <c r="E59" s="740"/>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5.2">
      <c r="A60" s="2127" t="s">
        <v>2044</v>
      </c>
      <c r="B60" s="1348"/>
      <c r="C60" s="1348" t="s">
        <v>2046</v>
      </c>
      <c r="D60" s="1348" t="s">
        <v>2047</v>
      </c>
      <c r="E60" s="741" t="s">
        <v>2048</v>
      </c>
      <c r="F60" s="2128" t="s">
        <v>2063</v>
      </c>
      <c r="G60" s="1348" t="s">
        <v>310</v>
      </c>
      <c r="H60" s="2129" t="s">
        <v>2050</v>
      </c>
      <c r="I60" s="1348" t="s">
        <v>2051</v>
      </c>
      <c r="J60" s="550" t="s">
        <v>1721</v>
      </c>
      <c r="K60" s="550" t="s">
        <v>1722</v>
      </c>
      <c r="L60" s="550" t="s">
        <v>1723</v>
      </c>
      <c r="M60" s="550" t="s">
        <v>1724</v>
      </c>
      <c r="N60" s="550" t="s">
        <v>1725</v>
      </c>
      <c r="AA60" s="1117"/>
      <c r="AB60" s="1117"/>
      <c r="AC60" s="1117"/>
      <c r="AD60" s="1117"/>
      <c r="AE60" s="1117"/>
      <c r="AF60" s="1117"/>
      <c r="AG60" s="1117"/>
      <c r="AH60" s="1117"/>
      <c r="AI60" s="1117"/>
      <c r="AJ60" s="1117"/>
      <c r="AK60" s="1117"/>
    </row>
    <row r="61" spans="1:37" s="1116" customFormat="1" ht="39.6">
      <c r="A61" s="2127" t="s">
        <v>2064</v>
      </c>
      <c r="B61" s="2130" t="str">
        <f>估价对象房地状况!C17</f>
        <v>估价对象位于XX商圈，周边办公楼项目较多，入驻率高，办公集聚程度较好</v>
      </c>
      <c r="C61" s="2041"/>
      <c r="D61" s="1062">
        <f t="shared" ref="D61:D69" si="13">SUMIF($J$60:$N$60,C61,J61:N61)</f>
        <v>0</v>
      </c>
      <c r="E61" s="742">
        <f>ROUND(SUM(D61:D69),4)</f>
        <v>0</v>
      </c>
      <c r="F61" s="1811" t="str">
        <f>IF(E2="办公",SUMIF(L1:L12,G2,N1:N12),"——")</f>
        <v>——</v>
      </c>
      <c r="G61" s="1060"/>
      <c r="H61" s="1063" t="str">
        <f t="shared" ref="H61:H69" si="14">IFERROR(ROUNDDOWN($F$61*I61/2,4),"——")</f>
        <v>——</v>
      </c>
      <c r="I61" s="3366">
        <v>0.25</v>
      </c>
      <c r="J61" s="1061">
        <f t="shared" ref="J61:J69" si="15">K61+$G61</f>
        <v>0</v>
      </c>
      <c r="K61" s="1061">
        <f t="shared" ref="K61:K69" si="16">$L61+$G61</f>
        <v>0</v>
      </c>
      <c r="L61" s="1061">
        <v>0</v>
      </c>
      <c r="M61" s="1061">
        <f t="shared" ref="M61:N69" si="17">L61-$G61</f>
        <v>0</v>
      </c>
      <c r="N61" s="1061">
        <f t="shared" si="17"/>
        <v>0</v>
      </c>
      <c r="AA61" s="1117"/>
      <c r="AB61" s="1117"/>
      <c r="AC61" s="1117"/>
      <c r="AD61" s="1117"/>
      <c r="AE61" s="1117"/>
      <c r="AF61" s="1117"/>
      <c r="AG61" s="1117"/>
      <c r="AH61" s="1117"/>
      <c r="AI61" s="1117"/>
      <c r="AJ61" s="1117"/>
      <c r="AK61" s="1117"/>
    </row>
    <row r="62" spans="1:37" s="1116" customFormat="1" ht="52.8">
      <c r="A62" s="2127" t="s">
        <v>2053</v>
      </c>
      <c r="B62" s="2131" t="str">
        <f>估价对象房地状况!C18</f>
        <v>估价对象周边道路状况、公共交通通达情况、停车便捷程度，综合评价交通便捷度较好</v>
      </c>
      <c r="C62" s="2041"/>
      <c r="D62" s="1062">
        <f t="shared" si="13"/>
        <v>0</v>
      </c>
      <c r="E62" s="743"/>
      <c r="F62" s="1811"/>
      <c r="G62" s="1060"/>
      <c r="H62" s="1063" t="str">
        <f t="shared" si="14"/>
        <v>——</v>
      </c>
      <c r="I62" s="3366">
        <v>0.26</v>
      </c>
      <c r="J62" s="1061">
        <f t="shared" si="15"/>
        <v>0</v>
      </c>
      <c r="K62" s="1061">
        <f t="shared" si="16"/>
        <v>0</v>
      </c>
      <c r="L62" s="1061">
        <v>0</v>
      </c>
      <c r="M62" s="1061">
        <f t="shared" si="17"/>
        <v>0</v>
      </c>
      <c r="N62" s="1061">
        <f t="shared" si="17"/>
        <v>0</v>
      </c>
      <c r="AA62" s="1117"/>
      <c r="AB62" s="1117"/>
      <c r="AC62" s="1117"/>
      <c r="AD62" s="1117"/>
      <c r="AE62" s="1117"/>
      <c r="AF62" s="1117"/>
      <c r="AG62" s="1117"/>
      <c r="AH62" s="1117"/>
      <c r="AI62" s="1117"/>
      <c r="AJ62" s="1117"/>
      <c r="AK62" s="1117"/>
    </row>
    <row r="63" spans="1:37" s="1116" customFormat="1" ht="48">
      <c r="A63" s="3368" t="s">
        <v>3278</v>
      </c>
      <c r="B63" s="2131">
        <f>估价对象房地状况!C19</f>
        <v>0</v>
      </c>
      <c r="C63" s="2041"/>
      <c r="D63" s="1062">
        <f t="shared" si="13"/>
        <v>0</v>
      </c>
      <c r="E63" s="743"/>
      <c r="F63" s="1811"/>
      <c r="G63" s="1060"/>
      <c r="H63" s="1063" t="str">
        <f t="shared" si="14"/>
        <v>——</v>
      </c>
      <c r="I63" s="3366">
        <v>0.11</v>
      </c>
      <c r="J63" s="1061">
        <f t="shared" si="15"/>
        <v>0</v>
      </c>
      <c r="K63" s="1061">
        <f t="shared" si="16"/>
        <v>0</v>
      </c>
      <c r="L63" s="1061">
        <v>0</v>
      </c>
      <c r="M63" s="1061">
        <f t="shared" si="17"/>
        <v>0</v>
      </c>
      <c r="N63" s="1061">
        <f t="shared" si="17"/>
        <v>0</v>
      </c>
      <c r="AA63" s="1117"/>
      <c r="AB63" s="1117"/>
      <c r="AC63" s="1117"/>
      <c r="AD63" s="1117"/>
      <c r="AE63" s="1117"/>
      <c r="AF63" s="1117"/>
      <c r="AG63" s="1117"/>
      <c r="AH63" s="1117"/>
      <c r="AI63" s="1117"/>
      <c r="AJ63" s="1117"/>
      <c r="AK63" s="1117"/>
    </row>
    <row r="64" spans="1:37" s="1116" customFormat="1" ht="37.200000000000003">
      <c r="A64" s="2127" t="s">
        <v>2054</v>
      </c>
      <c r="B64" s="2132" t="s">
        <v>2055</v>
      </c>
      <c r="C64" s="2041"/>
      <c r="D64" s="1062">
        <f t="shared" si="13"/>
        <v>0</v>
      </c>
      <c r="E64" s="743"/>
      <c r="F64" s="1811"/>
      <c r="G64" s="1060"/>
      <c r="H64" s="1063" t="str">
        <f t="shared" si="14"/>
        <v>——</v>
      </c>
      <c r="I64" s="3366">
        <v>0.05</v>
      </c>
      <c r="J64" s="1061">
        <f t="shared" si="15"/>
        <v>0</v>
      </c>
      <c r="K64" s="1061">
        <f t="shared" si="16"/>
        <v>0</v>
      </c>
      <c r="L64" s="1061">
        <v>0</v>
      </c>
      <c r="M64" s="1061">
        <f t="shared" si="17"/>
        <v>0</v>
      </c>
      <c r="N64" s="1061">
        <f t="shared" si="17"/>
        <v>0</v>
      </c>
      <c r="AA64" s="1117"/>
      <c r="AB64" s="1117"/>
      <c r="AC64" s="1117"/>
      <c r="AD64" s="1117"/>
      <c r="AE64" s="1117"/>
      <c r="AF64" s="1117"/>
      <c r="AG64" s="1117"/>
      <c r="AH64" s="1117"/>
      <c r="AI64" s="1117"/>
      <c r="AJ64" s="1117"/>
      <c r="AK64" s="1117"/>
    </row>
    <row r="65" spans="1:37" s="1116" customFormat="1" ht="24">
      <c r="A65" s="2127" t="s">
        <v>2056</v>
      </c>
      <c r="B65" s="2131">
        <f>估价对象房地状况!C24</f>
        <v>0</v>
      </c>
      <c r="C65" s="2041"/>
      <c r="D65" s="1062">
        <f t="shared" si="13"/>
        <v>0</v>
      </c>
      <c r="E65" s="743"/>
      <c r="F65" s="1811"/>
      <c r="G65" s="1060"/>
      <c r="H65" s="1063" t="str">
        <f t="shared" si="14"/>
        <v>——</v>
      </c>
      <c r="I65" s="3366">
        <v>0.05</v>
      </c>
      <c r="J65" s="1061">
        <f t="shared" si="15"/>
        <v>0</v>
      </c>
      <c r="K65" s="1061">
        <f t="shared" si="16"/>
        <v>0</v>
      </c>
      <c r="L65" s="1061">
        <v>0</v>
      </c>
      <c r="M65" s="1061">
        <f t="shared" si="17"/>
        <v>0</v>
      </c>
      <c r="N65" s="1061">
        <f t="shared" si="17"/>
        <v>0</v>
      </c>
      <c r="AA65" s="1117"/>
      <c r="AB65" s="1117"/>
      <c r="AC65" s="1117"/>
      <c r="AD65" s="1117"/>
      <c r="AE65" s="1117"/>
      <c r="AF65" s="1117"/>
      <c r="AG65" s="1117"/>
      <c r="AH65" s="1117"/>
      <c r="AI65" s="1117"/>
      <c r="AJ65" s="1117"/>
      <c r="AK65" s="1117"/>
    </row>
    <row r="66" spans="1:37" s="1116" customFormat="1" ht="36">
      <c r="A66" s="2127" t="s">
        <v>2057</v>
      </c>
      <c r="B66" s="2133" t="s">
        <v>2058</v>
      </c>
      <c r="C66" s="2041"/>
      <c r="D66" s="1062">
        <f t="shared" si="13"/>
        <v>0</v>
      </c>
      <c r="E66" s="743"/>
      <c r="F66" s="1811"/>
      <c r="G66" s="1060"/>
      <c r="H66" s="1063" t="str">
        <f t="shared" si="14"/>
        <v>——</v>
      </c>
      <c r="I66" s="3366">
        <v>0.06</v>
      </c>
      <c r="J66" s="1061">
        <f t="shared" si="15"/>
        <v>0</v>
      </c>
      <c r="K66" s="1061">
        <f t="shared" si="16"/>
        <v>0</v>
      </c>
      <c r="L66" s="1061">
        <v>0</v>
      </c>
      <c r="M66" s="1061">
        <f t="shared" si="17"/>
        <v>0</v>
      </c>
      <c r="N66" s="1061">
        <f t="shared" si="17"/>
        <v>0</v>
      </c>
      <c r="AA66" s="1117"/>
      <c r="AB66" s="1117"/>
      <c r="AC66" s="1117"/>
      <c r="AD66" s="1117"/>
      <c r="AE66" s="1117"/>
      <c r="AF66" s="1117"/>
      <c r="AG66" s="1117"/>
      <c r="AH66" s="1117"/>
      <c r="AI66" s="1117"/>
      <c r="AJ66" s="1117"/>
      <c r="AK66" s="1117"/>
    </row>
    <row r="67" spans="1:37" s="1116" customFormat="1" ht="26.4">
      <c r="A67" s="2127" t="s">
        <v>2059</v>
      </c>
      <c r="B67" s="1323" t="str">
        <f>估价对象房地状况!C21</f>
        <v>估价对象所在区域公共配套设施齐备情况</v>
      </c>
      <c r="C67" s="2041"/>
      <c r="D67" s="1062">
        <f t="shared" si="13"/>
        <v>0</v>
      </c>
      <c r="E67" s="743"/>
      <c r="F67" s="1811"/>
      <c r="G67" s="1060"/>
      <c r="H67" s="1063" t="str">
        <f t="shared" si="14"/>
        <v>——</v>
      </c>
      <c r="I67" s="3366">
        <v>0.06</v>
      </c>
      <c r="J67" s="1061">
        <f t="shared" si="15"/>
        <v>0</v>
      </c>
      <c r="K67" s="1061">
        <f t="shared" si="16"/>
        <v>0</v>
      </c>
      <c r="L67" s="1061">
        <v>0</v>
      </c>
      <c r="M67" s="1061">
        <f t="shared" si="17"/>
        <v>0</v>
      </c>
      <c r="N67" s="1061">
        <f t="shared" si="17"/>
        <v>0</v>
      </c>
      <c r="AA67" s="1117"/>
      <c r="AB67" s="1117"/>
      <c r="AC67" s="1117"/>
      <c r="AD67" s="1117"/>
      <c r="AE67" s="1117"/>
      <c r="AF67" s="1117"/>
      <c r="AG67" s="1117"/>
      <c r="AH67" s="1117"/>
      <c r="AI67" s="1117"/>
      <c r="AJ67" s="1117"/>
      <c r="AK67" s="1117"/>
    </row>
    <row r="68" spans="1:37" s="1116" customFormat="1" ht="26.4">
      <c r="A68" s="2127" t="s">
        <v>2060</v>
      </c>
      <c r="B68" s="1323" t="str">
        <f>估价对象房地状况!C22</f>
        <v>估价对象所在区域基础设施水平</v>
      </c>
      <c r="C68" s="2041"/>
      <c r="D68" s="1062">
        <f t="shared" si="13"/>
        <v>0</v>
      </c>
      <c r="E68" s="743"/>
      <c r="F68" s="1811"/>
      <c r="G68" s="1060"/>
      <c r="H68" s="1063" t="str">
        <f t="shared" si="14"/>
        <v>——</v>
      </c>
      <c r="I68" s="3366">
        <v>0.09</v>
      </c>
      <c r="J68" s="1061">
        <f t="shared" si="15"/>
        <v>0</v>
      </c>
      <c r="K68" s="1061">
        <f t="shared" si="16"/>
        <v>0</v>
      </c>
      <c r="L68" s="1061">
        <v>0</v>
      </c>
      <c r="M68" s="1061">
        <f t="shared" si="17"/>
        <v>0</v>
      </c>
      <c r="N68" s="1061">
        <f t="shared" si="17"/>
        <v>0</v>
      </c>
      <c r="AA68" s="1117"/>
      <c r="AB68" s="1117"/>
      <c r="AC68" s="1117"/>
      <c r="AD68" s="1117"/>
      <c r="AE68" s="1117"/>
      <c r="AF68" s="1117"/>
      <c r="AG68" s="1117"/>
      <c r="AH68" s="1117"/>
      <c r="AI68" s="1117"/>
      <c r="AJ68" s="1117"/>
      <c r="AK68" s="1117"/>
    </row>
    <row r="69" spans="1:37" s="1116" customFormat="1" ht="40.200000000000003" thickBot="1">
      <c r="A69" s="2135" t="s">
        <v>2061</v>
      </c>
      <c r="B69" s="2137" t="str">
        <f>估价对象房地状况!C20</f>
        <v>区域自然环境：；人文环境；综合评价环境状况一般</v>
      </c>
      <c r="C69" s="2041"/>
      <c r="D69" s="1062">
        <f t="shared" si="13"/>
        <v>0</v>
      </c>
      <c r="E69" s="744"/>
      <c r="F69" s="1811"/>
      <c r="G69" s="1060"/>
      <c r="H69" s="1063" t="str">
        <f t="shared" si="14"/>
        <v>——</v>
      </c>
      <c r="I69" s="3367">
        <v>7.0000000000000007E-2</v>
      </c>
      <c r="J69" s="1061">
        <f t="shared" si="15"/>
        <v>0</v>
      </c>
      <c r="K69" s="1061">
        <f t="shared" si="16"/>
        <v>0</v>
      </c>
      <c r="L69" s="1061">
        <v>0</v>
      </c>
      <c r="M69" s="1061">
        <f t="shared" si="17"/>
        <v>0</v>
      </c>
      <c r="N69" s="1061">
        <f t="shared" si="17"/>
        <v>0</v>
      </c>
      <c r="AA69" s="1117"/>
      <c r="AB69" s="1117"/>
      <c r="AC69" s="1117"/>
      <c r="AD69" s="1117"/>
      <c r="AE69" s="1117"/>
      <c r="AF69" s="1117"/>
      <c r="AG69" s="1117"/>
      <c r="AH69" s="1117"/>
      <c r="AI69" s="1117"/>
      <c r="AJ69" s="1117"/>
      <c r="AK69" s="1117"/>
    </row>
    <row r="70" spans="1:37" s="1116" customFormat="1" ht="14.4">
      <c r="A70" s="2123" t="s">
        <v>2065</v>
      </c>
      <c r="B70" s="2124">
        <f>1+E72</f>
        <v>1</v>
      </c>
      <c r="C70" s="739"/>
      <c r="D70" s="739"/>
      <c r="E70" s="740"/>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5.2">
      <c r="A71" s="2127" t="s">
        <v>2044</v>
      </c>
      <c r="B71" s="1348"/>
      <c r="C71" s="1348" t="s">
        <v>2046</v>
      </c>
      <c r="D71" s="1348" t="s">
        <v>2047</v>
      </c>
      <c r="E71" s="741" t="s">
        <v>2048</v>
      </c>
      <c r="F71" s="2128" t="s">
        <v>2063</v>
      </c>
      <c r="G71" s="1348" t="s">
        <v>310</v>
      </c>
      <c r="H71" s="2129" t="s">
        <v>2050</v>
      </c>
      <c r="I71" s="1348" t="s">
        <v>2051</v>
      </c>
      <c r="J71" s="550" t="s">
        <v>1721</v>
      </c>
      <c r="K71" s="550" t="s">
        <v>1722</v>
      </c>
      <c r="L71" s="550" t="s">
        <v>1723</v>
      </c>
      <c r="M71" s="550" t="s">
        <v>1724</v>
      </c>
      <c r="N71" s="550" t="s">
        <v>1725</v>
      </c>
      <c r="AA71" s="1117"/>
      <c r="AB71" s="1117"/>
      <c r="AC71" s="1117"/>
      <c r="AD71" s="1117"/>
      <c r="AE71" s="1117"/>
      <c r="AF71" s="1117"/>
      <c r="AG71" s="1117"/>
      <c r="AH71" s="1117"/>
      <c r="AI71" s="1117"/>
      <c r="AJ71" s="1117"/>
      <c r="AK71" s="1117"/>
    </row>
    <row r="72" spans="1:37" s="1116" customFormat="1" ht="52.8">
      <c r="A72" s="2127" t="s">
        <v>2066</v>
      </c>
      <c r="B72" s="2130" t="str">
        <f>估价对象房地状况!C15</f>
        <v>估价对象周边居住用地比例、居住小区规模和社区发展完善程度，综合评价居住社区成熟度一般</v>
      </c>
      <c r="C72" s="2041"/>
      <c r="D72" s="1062">
        <f t="shared" ref="D72:D80" si="18">SUMIF($J$71:$N$71,C72,J72:N72)</f>
        <v>0</v>
      </c>
      <c r="E72" s="742">
        <f>ROUND(SUM(D72:D80),4)</f>
        <v>0</v>
      </c>
      <c r="F72" s="1811" t="str">
        <f>IF(E2="住宅",SUMIF(L1:L12,G2,N1:N12),"——")</f>
        <v>——</v>
      </c>
      <c r="G72" s="1060"/>
      <c r="H72" s="1063" t="str">
        <f t="shared" ref="H72:H80" si="19">IFERROR(ROUNDDOWN($F$72*I72/2,4),"——")</f>
        <v>——</v>
      </c>
      <c r="I72" s="3366">
        <v>0.2</v>
      </c>
      <c r="J72" s="1061">
        <f t="shared" ref="J72:J80" si="20">K72+$G72</f>
        <v>0</v>
      </c>
      <c r="K72" s="1061">
        <f t="shared" ref="K72:K80" si="21">$L72+$G72</f>
        <v>0</v>
      </c>
      <c r="L72" s="1061">
        <v>0</v>
      </c>
      <c r="M72" s="1061">
        <f t="shared" ref="M72:N80" si="22">L72-$G72</f>
        <v>0</v>
      </c>
      <c r="N72" s="1061">
        <f t="shared" si="22"/>
        <v>0</v>
      </c>
      <c r="AA72" s="1117"/>
      <c r="AB72" s="1117"/>
      <c r="AC72" s="1117"/>
      <c r="AD72" s="1117"/>
      <c r="AE72" s="1117"/>
      <c r="AF72" s="1117"/>
      <c r="AG72" s="1117"/>
      <c r="AH72" s="1117"/>
      <c r="AI72" s="1117"/>
      <c r="AJ72" s="1117"/>
      <c r="AK72" s="1117"/>
    </row>
    <row r="73" spans="1:37" s="1116" customFormat="1" ht="52.8">
      <c r="A73" s="2127" t="s">
        <v>2053</v>
      </c>
      <c r="B73" s="2131" t="str">
        <f>估价对象房地状况!C18</f>
        <v>估价对象周边道路状况、公共交通通达情况、停车便捷程度，综合评价交通便捷度较好</v>
      </c>
      <c r="C73" s="2041"/>
      <c r="D73" s="1062">
        <f t="shared" si="18"/>
        <v>0</v>
      </c>
      <c r="E73" s="745"/>
      <c r="F73" s="1811"/>
      <c r="G73" s="1060"/>
      <c r="H73" s="1063" t="str">
        <f t="shared" si="19"/>
        <v>——</v>
      </c>
      <c r="I73" s="3366">
        <v>0.26</v>
      </c>
      <c r="J73" s="1061">
        <f t="shared" si="20"/>
        <v>0</v>
      </c>
      <c r="K73" s="1061">
        <f t="shared" si="21"/>
        <v>0</v>
      </c>
      <c r="L73" s="1061">
        <v>0</v>
      </c>
      <c r="M73" s="1061">
        <f t="shared" si="22"/>
        <v>0</v>
      </c>
      <c r="N73" s="1061">
        <f t="shared" si="22"/>
        <v>0</v>
      </c>
      <c r="AA73" s="1117"/>
      <c r="AB73" s="1117"/>
      <c r="AC73" s="1117"/>
      <c r="AD73" s="1117"/>
      <c r="AE73" s="1117"/>
      <c r="AF73" s="1117"/>
      <c r="AG73" s="1117"/>
      <c r="AH73" s="1117"/>
      <c r="AI73" s="1117"/>
      <c r="AJ73" s="1117"/>
      <c r="AK73" s="1117"/>
    </row>
    <row r="74" spans="1:37" s="1994" customFormat="1" ht="48">
      <c r="A74" s="3368" t="s">
        <v>3278</v>
      </c>
      <c r="B74" s="2131">
        <f>估价对象房地状况!C19</f>
        <v>0</v>
      </c>
      <c r="C74" s="2041"/>
      <c r="D74" s="1062">
        <f t="shared" si="18"/>
        <v>0</v>
      </c>
      <c r="E74" s="745"/>
      <c r="F74" s="1811"/>
      <c r="G74" s="1060"/>
      <c r="H74" s="1063" t="str">
        <f t="shared" si="19"/>
        <v>——</v>
      </c>
      <c r="I74" s="3366">
        <v>0.1</v>
      </c>
      <c r="J74" s="1061">
        <f t="shared" si="20"/>
        <v>0</v>
      </c>
      <c r="K74" s="1061">
        <f t="shared" si="21"/>
        <v>0</v>
      </c>
      <c r="L74" s="1061">
        <v>0</v>
      </c>
      <c r="M74" s="1061">
        <f t="shared" si="22"/>
        <v>0</v>
      </c>
      <c r="N74" s="1061">
        <f t="shared" si="22"/>
        <v>0</v>
      </c>
      <c r="O74" s="1116"/>
      <c r="P74" s="1116"/>
      <c r="Q74" s="1116"/>
      <c r="AA74" s="2138"/>
      <c r="AB74" s="1117"/>
      <c r="AC74" s="1117"/>
      <c r="AD74" s="1117"/>
      <c r="AE74" s="1117"/>
      <c r="AF74" s="1117"/>
      <c r="AG74" s="1117"/>
      <c r="AH74" s="2138"/>
      <c r="AI74" s="2138"/>
      <c r="AJ74" s="2138"/>
      <c r="AK74" s="2138"/>
    </row>
    <row r="75" spans="1:37" ht="13.8">
      <c r="A75" s="2127" t="s">
        <v>2067</v>
      </c>
      <c r="B75" s="2131">
        <f>估价对象房地状况!C24</f>
        <v>0</v>
      </c>
      <c r="C75" s="2041"/>
      <c r="D75" s="1062">
        <f t="shared" si="18"/>
        <v>0</v>
      </c>
      <c r="E75" s="745"/>
      <c r="F75" s="1811"/>
      <c r="G75" s="1060"/>
      <c r="H75" s="1063" t="str">
        <f t="shared" si="19"/>
        <v>——</v>
      </c>
      <c r="I75" s="3366">
        <v>0.05</v>
      </c>
      <c r="J75" s="1061">
        <f t="shared" si="20"/>
        <v>0</v>
      </c>
      <c r="K75" s="1061">
        <f t="shared" si="21"/>
        <v>0</v>
      </c>
      <c r="L75" s="1061">
        <v>0</v>
      </c>
      <c r="M75" s="1061">
        <f t="shared" si="22"/>
        <v>0</v>
      </c>
      <c r="N75" s="1061">
        <f t="shared" si="22"/>
        <v>0</v>
      </c>
      <c r="O75" s="1116"/>
      <c r="P75" s="1116"/>
      <c r="Q75" s="1994"/>
      <c r="Z75" s="1995"/>
      <c r="AA75" s="2050"/>
      <c r="AG75" s="1118"/>
      <c r="AK75" s="2050"/>
    </row>
    <row r="76" spans="1:37" ht="26.4">
      <c r="A76" s="2127" t="s">
        <v>2059</v>
      </c>
      <c r="B76" s="1323" t="str">
        <f>估价对象房地状况!C21</f>
        <v>估价对象所在区域公共配套设施齐备情况</v>
      </c>
      <c r="C76" s="2041"/>
      <c r="D76" s="1062">
        <f t="shared" si="18"/>
        <v>0</v>
      </c>
      <c r="E76" s="745"/>
      <c r="F76" s="1811"/>
      <c r="G76" s="1060"/>
      <c r="H76" s="1063" t="str">
        <f t="shared" si="19"/>
        <v>——</v>
      </c>
      <c r="I76" s="3366">
        <v>0.08</v>
      </c>
      <c r="J76" s="1061">
        <f t="shared" si="20"/>
        <v>0</v>
      </c>
      <c r="K76" s="1061">
        <f t="shared" si="21"/>
        <v>0</v>
      </c>
      <c r="L76" s="1061">
        <v>0</v>
      </c>
      <c r="M76" s="1061">
        <f t="shared" si="22"/>
        <v>0</v>
      </c>
      <c r="N76" s="1061">
        <f t="shared" si="22"/>
        <v>0</v>
      </c>
      <c r="O76" s="1116"/>
      <c r="P76" s="1116"/>
      <c r="Z76" s="1995"/>
      <c r="AA76" s="2050"/>
      <c r="AG76" s="1118"/>
      <c r="AK76" s="2050"/>
    </row>
    <row r="77" spans="1:37" ht="26.4">
      <c r="A77" s="2127" t="s">
        <v>2060</v>
      </c>
      <c r="B77" s="1323" t="str">
        <f>估价对象房地状况!C22</f>
        <v>估价对象所在区域基础设施水平</v>
      </c>
      <c r="C77" s="2041"/>
      <c r="D77" s="1062">
        <f t="shared" si="18"/>
        <v>0</v>
      </c>
      <c r="E77" s="745"/>
      <c r="F77" s="1811"/>
      <c r="G77" s="1060"/>
      <c r="H77" s="1063" t="str">
        <f t="shared" si="19"/>
        <v>——</v>
      </c>
      <c r="I77" s="3366">
        <v>0.09</v>
      </c>
      <c r="J77" s="1061">
        <f t="shared" si="20"/>
        <v>0</v>
      </c>
      <c r="K77" s="1061">
        <f t="shared" si="21"/>
        <v>0</v>
      </c>
      <c r="L77" s="1061">
        <v>0</v>
      </c>
      <c r="M77" s="1061">
        <f t="shared" si="22"/>
        <v>0</v>
      </c>
      <c r="N77" s="1061">
        <f t="shared" si="22"/>
        <v>0</v>
      </c>
      <c r="O77" s="1116"/>
      <c r="P77" s="1116"/>
      <c r="Z77" s="1995"/>
      <c r="AA77" s="2050"/>
      <c r="AG77" s="1118"/>
      <c r="AK77" s="2050"/>
    </row>
    <row r="78" spans="1:37" ht="36">
      <c r="A78" s="2127" t="s">
        <v>2057</v>
      </c>
      <c r="B78" s="2133" t="s">
        <v>2058</v>
      </c>
      <c r="C78" s="2041"/>
      <c r="D78" s="1062">
        <f t="shared" si="18"/>
        <v>0</v>
      </c>
      <c r="E78" s="745"/>
      <c r="F78" s="1811"/>
      <c r="G78" s="1060"/>
      <c r="H78" s="1063" t="str">
        <f t="shared" si="19"/>
        <v>——</v>
      </c>
      <c r="I78" s="3366">
        <v>0.05</v>
      </c>
      <c r="J78" s="1061">
        <f t="shared" si="20"/>
        <v>0</v>
      </c>
      <c r="K78" s="1061">
        <f t="shared" si="21"/>
        <v>0</v>
      </c>
      <c r="L78" s="1061">
        <v>0</v>
      </c>
      <c r="M78" s="1061">
        <f t="shared" si="22"/>
        <v>0</v>
      </c>
      <c r="N78" s="1061">
        <f t="shared" si="22"/>
        <v>0</v>
      </c>
      <c r="O78" s="1994"/>
      <c r="P78" s="1994"/>
      <c r="Z78" s="1995"/>
      <c r="AA78" s="2050"/>
      <c r="AG78" s="1118"/>
      <c r="AK78" s="2050"/>
    </row>
    <row r="79" spans="1:37" ht="39.6">
      <c r="A79" s="2127" t="s">
        <v>2061</v>
      </c>
      <c r="B79" s="2130" t="str">
        <f>估价对象房地状况!C20</f>
        <v>区域自然环境：；人文环境；综合评价环境状况一般</v>
      </c>
      <c r="C79" s="2041"/>
      <c r="D79" s="1062">
        <f t="shared" si="18"/>
        <v>0</v>
      </c>
      <c r="E79" s="745"/>
      <c r="F79" s="1811"/>
      <c r="G79" s="1060"/>
      <c r="H79" s="1063" t="str">
        <f t="shared" si="19"/>
        <v>——</v>
      </c>
      <c r="I79" s="3366">
        <v>0.12</v>
      </c>
      <c r="J79" s="1061">
        <f t="shared" si="20"/>
        <v>0</v>
      </c>
      <c r="K79" s="1061">
        <f t="shared" si="21"/>
        <v>0</v>
      </c>
      <c r="L79" s="1061">
        <v>0</v>
      </c>
      <c r="M79" s="1061">
        <f t="shared" si="22"/>
        <v>0</v>
      </c>
      <c r="N79" s="1061">
        <f t="shared" si="22"/>
        <v>0</v>
      </c>
      <c r="Z79" s="1995"/>
      <c r="AA79" s="2050"/>
      <c r="AG79" s="1118"/>
      <c r="AK79" s="2050"/>
    </row>
    <row r="80" spans="1:37" ht="36.6" thickBot="1">
      <c r="A80" s="2135" t="s">
        <v>2068</v>
      </c>
      <c r="B80" s="2139"/>
      <c r="C80" s="2041"/>
      <c r="D80" s="1062">
        <f t="shared" si="18"/>
        <v>0</v>
      </c>
      <c r="E80" s="746"/>
      <c r="F80" s="1811"/>
      <c r="G80" s="1060"/>
      <c r="H80" s="1063" t="str">
        <f t="shared" si="19"/>
        <v>——</v>
      </c>
      <c r="I80" s="3367">
        <v>0.05</v>
      </c>
      <c r="J80" s="1061">
        <f t="shared" si="20"/>
        <v>0</v>
      </c>
      <c r="K80" s="1061">
        <f t="shared" si="21"/>
        <v>0</v>
      </c>
      <c r="L80" s="1061">
        <v>0</v>
      </c>
      <c r="M80" s="1061">
        <f t="shared" si="22"/>
        <v>0</v>
      </c>
      <c r="N80" s="1061">
        <f t="shared" si="22"/>
        <v>0</v>
      </c>
      <c r="Z80" s="1995"/>
      <c r="AA80" s="2050"/>
      <c r="AG80" s="1118"/>
      <c r="AK80" s="2050"/>
    </row>
    <row r="81" spans="1:37" ht="14.4">
      <c r="A81" s="2123" t="s">
        <v>2069</v>
      </c>
      <c r="B81" s="2124">
        <f>1+E83</f>
        <v>1</v>
      </c>
      <c r="C81" s="739"/>
      <c r="D81" s="739"/>
      <c r="E81" s="740"/>
      <c r="F81" s="2126"/>
      <c r="G81" s="3"/>
      <c r="H81" s="3"/>
      <c r="I81" s="3"/>
      <c r="J81" s="4"/>
      <c r="K81" s="4"/>
      <c r="L81" s="4"/>
      <c r="M81" s="4"/>
      <c r="N81" s="4"/>
      <c r="Z81" s="1995"/>
      <c r="AA81" s="2050"/>
      <c r="AG81" s="1118"/>
      <c r="AK81" s="2050"/>
    </row>
    <row r="82" spans="1:37" ht="25.2">
      <c r="A82" s="2127" t="s">
        <v>2044</v>
      </c>
      <c r="B82" s="1348"/>
      <c r="C82" s="1348" t="s">
        <v>2046</v>
      </c>
      <c r="D82" s="1348" t="s">
        <v>2047</v>
      </c>
      <c r="E82" s="741" t="s">
        <v>2048</v>
      </c>
      <c r="F82" s="2128" t="s">
        <v>2063</v>
      </c>
      <c r="G82" s="1348" t="s">
        <v>310</v>
      </c>
      <c r="H82" s="2129" t="s">
        <v>2050</v>
      </c>
      <c r="I82" s="1348" t="s">
        <v>2051</v>
      </c>
      <c r="J82" s="550" t="s">
        <v>1721</v>
      </c>
      <c r="K82" s="550" t="s">
        <v>1722</v>
      </c>
      <c r="L82" s="550" t="s">
        <v>1723</v>
      </c>
      <c r="M82" s="550" t="s">
        <v>1724</v>
      </c>
      <c r="N82" s="550" t="s">
        <v>1725</v>
      </c>
      <c r="Z82" s="1995"/>
      <c r="AA82" s="2050"/>
      <c r="AG82" s="1118"/>
      <c r="AK82" s="2050"/>
    </row>
    <row r="83" spans="1:37" ht="39.6">
      <c r="A83" s="2127" t="s">
        <v>2070</v>
      </c>
      <c r="B83" s="2131" t="str">
        <f>估价对象房地状况!G15</f>
        <v>估价对象位于XX开发区，园区建设成熟度XX，产业集聚程度XX</v>
      </c>
      <c r="C83" s="2041"/>
      <c r="D83" s="1062">
        <f t="shared" ref="D83:D90" si="23">SUMIF($J$82:$N$82,C83,J83:N83)</f>
        <v>0</v>
      </c>
      <c r="E83" s="742">
        <f>ROUND(SUM(D83:D90),4)</f>
        <v>0</v>
      </c>
      <c r="F83" s="1811" t="str">
        <f>IF(E2="工业",SUMIF(L1:L12,G2,N1:N12),"——")</f>
        <v>——</v>
      </c>
      <c r="G83" s="1060"/>
      <c r="H83" s="1063" t="str">
        <f t="shared" ref="H83:H90" si="24">IFERROR(ROUNDDOWN($F$83*I83/2,4),"——")</f>
        <v>——</v>
      </c>
      <c r="I83" s="3366">
        <v>0.26</v>
      </c>
      <c r="J83" s="1061">
        <f t="shared" ref="J83:J90" si="25">K83+$G83</f>
        <v>0</v>
      </c>
      <c r="K83" s="1061">
        <f t="shared" ref="K83:K90" si="26">$L83+$G83</f>
        <v>0</v>
      </c>
      <c r="L83" s="1061">
        <v>0</v>
      </c>
      <c r="M83" s="1061">
        <f t="shared" ref="M83:N90" si="27">L83-$G83</f>
        <v>0</v>
      </c>
      <c r="N83" s="1061">
        <f t="shared" si="27"/>
        <v>0</v>
      </c>
      <c r="Z83" s="1995"/>
      <c r="AA83" s="2050"/>
      <c r="AG83" s="1118"/>
      <c r="AK83" s="2050"/>
    </row>
    <row r="84" spans="1:37" ht="52.8">
      <c r="A84" s="2127" t="s">
        <v>2053</v>
      </c>
      <c r="B84" s="2131" t="str">
        <f>估价对象房地状况!G16</f>
        <v>估价对象周边道路状况、公共交通通达情况、停车便捷程度，综合评价交通便捷度较好</v>
      </c>
      <c r="C84" s="2041"/>
      <c r="D84" s="1062">
        <f t="shared" si="23"/>
        <v>0</v>
      </c>
      <c r="E84" s="745"/>
      <c r="F84" s="1811"/>
      <c r="G84" s="1060"/>
      <c r="H84" s="1063" t="str">
        <f t="shared" si="24"/>
        <v>——</v>
      </c>
      <c r="I84" s="3366">
        <v>0.3</v>
      </c>
      <c r="J84" s="1061">
        <f t="shared" si="25"/>
        <v>0</v>
      </c>
      <c r="K84" s="1061">
        <f t="shared" si="26"/>
        <v>0</v>
      </c>
      <c r="L84" s="1061">
        <v>0</v>
      </c>
      <c r="M84" s="1061">
        <f t="shared" si="27"/>
        <v>0</v>
      </c>
      <c r="N84" s="1061">
        <f t="shared" si="27"/>
        <v>0</v>
      </c>
      <c r="Z84" s="1995"/>
      <c r="AA84" s="2050"/>
      <c r="AG84" s="1118"/>
      <c r="AK84" s="2050"/>
    </row>
    <row r="85" spans="1:37" ht="48">
      <c r="A85" s="3368" t="s">
        <v>3279</v>
      </c>
      <c r="B85" s="2131">
        <f>估价对象房地状况!G17</f>
        <v>0</v>
      </c>
      <c r="C85" s="2041"/>
      <c r="D85" s="1062">
        <f t="shared" si="23"/>
        <v>0</v>
      </c>
      <c r="E85" s="745"/>
      <c r="F85" s="1811"/>
      <c r="G85" s="1060"/>
      <c r="H85" s="1063" t="str">
        <f t="shared" si="24"/>
        <v>——</v>
      </c>
      <c r="I85" s="3366">
        <v>0.1</v>
      </c>
      <c r="J85" s="1061">
        <f t="shared" si="25"/>
        <v>0</v>
      </c>
      <c r="K85" s="1061">
        <f t="shared" si="26"/>
        <v>0</v>
      </c>
      <c r="L85" s="1061">
        <v>0</v>
      </c>
      <c r="M85" s="1061">
        <f t="shared" si="27"/>
        <v>0</v>
      </c>
      <c r="N85" s="1061">
        <f t="shared" si="27"/>
        <v>0</v>
      </c>
      <c r="Z85" s="1995"/>
      <c r="AA85" s="2050"/>
      <c r="AG85" s="1118"/>
      <c r="AK85" s="2050"/>
    </row>
    <row r="86" spans="1:37" ht="13.8">
      <c r="A86" s="2127" t="s">
        <v>2067</v>
      </c>
      <c r="B86" s="2131">
        <f>估价对象房地状况!G22</f>
        <v>0</v>
      </c>
      <c r="C86" s="2041"/>
      <c r="D86" s="1062">
        <f t="shared" si="23"/>
        <v>0</v>
      </c>
      <c r="E86" s="745"/>
      <c r="F86" s="1811"/>
      <c r="G86" s="1060"/>
      <c r="H86" s="1063" t="str">
        <f t="shared" si="24"/>
        <v>——</v>
      </c>
      <c r="I86" s="3366">
        <v>0.05</v>
      </c>
      <c r="J86" s="1061">
        <f t="shared" si="25"/>
        <v>0</v>
      </c>
      <c r="K86" s="1061">
        <f t="shared" si="26"/>
        <v>0</v>
      </c>
      <c r="L86" s="1061">
        <v>0</v>
      </c>
      <c r="M86" s="1061">
        <f t="shared" si="27"/>
        <v>0</v>
      </c>
      <c r="N86" s="1061">
        <f t="shared" si="27"/>
        <v>0</v>
      </c>
      <c r="Z86" s="1995"/>
      <c r="AA86" s="2050"/>
      <c r="AG86" s="1118"/>
      <c r="AK86" s="2050"/>
    </row>
    <row r="87" spans="1:37" ht="26.4">
      <c r="A87" s="2127" t="s">
        <v>2059</v>
      </c>
      <c r="B87" s="1323" t="str">
        <f>估价对象房地状况!G19</f>
        <v>估价对象所在区域公共配套设施齐备情况</v>
      </c>
      <c r="C87" s="2041"/>
      <c r="D87" s="1062">
        <f t="shared" si="23"/>
        <v>0</v>
      </c>
      <c r="E87" s="745"/>
      <c r="F87" s="1811"/>
      <c r="G87" s="1060"/>
      <c r="H87" s="1063" t="str">
        <f t="shared" si="24"/>
        <v>——</v>
      </c>
      <c r="I87" s="3366">
        <v>0.06</v>
      </c>
      <c r="J87" s="1061">
        <f t="shared" si="25"/>
        <v>0</v>
      </c>
      <c r="K87" s="1061">
        <f t="shared" si="26"/>
        <v>0</v>
      </c>
      <c r="L87" s="1061">
        <v>0</v>
      </c>
      <c r="M87" s="1061">
        <f t="shared" si="27"/>
        <v>0</v>
      </c>
      <c r="N87" s="1061">
        <f t="shared" si="27"/>
        <v>0</v>
      </c>
    </row>
    <row r="88" spans="1:37" ht="26.4">
      <c r="A88" s="2127" t="s">
        <v>2060</v>
      </c>
      <c r="B88" s="1323" t="str">
        <f>估价对象房地状况!G20</f>
        <v>估价对象所在区域基础设施水平</v>
      </c>
      <c r="C88" s="2041"/>
      <c r="D88" s="1062">
        <f t="shared" si="23"/>
        <v>0</v>
      </c>
      <c r="E88" s="745"/>
      <c r="F88" s="1811"/>
      <c r="G88" s="1060"/>
      <c r="H88" s="1063" t="str">
        <f t="shared" si="24"/>
        <v>——</v>
      </c>
      <c r="I88" s="3366">
        <v>0.12</v>
      </c>
      <c r="J88" s="1061">
        <f t="shared" si="25"/>
        <v>0</v>
      </c>
      <c r="K88" s="1061">
        <f t="shared" si="26"/>
        <v>0</v>
      </c>
      <c r="L88" s="1061">
        <v>0</v>
      </c>
      <c r="M88" s="1061">
        <f t="shared" si="27"/>
        <v>0</v>
      </c>
      <c r="N88" s="1061">
        <f t="shared" si="27"/>
        <v>0</v>
      </c>
    </row>
    <row r="89" spans="1:37" ht="36">
      <c r="A89" s="2127" t="s">
        <v>2057</v>
      </c>
      <c r="B89" s="2133" t="s">
        <v>2071</v>
      </c>
      <c r="C89" s="2041"/>
      <c r="D89" s="1062">
        <f t="shared" si="23"/>
        <v>0</v>
      </c>
      <c r="E89" s="745"/>
      <c r="F89" s="1811"/>
      <c r="G89" s="1060"/>
      <c r="H89" s="1063" t="str">
        <f t="shared" si="24"/>
        <v>——</v>
      </c>
      <c r="I89" s="3366">
        <v>0.06</v>
      </c>
      <c r="J89" s="1061">
        <f t="shared" si="25"/>
        <v>0</v>
      </c>
      <c r="K89" s="1061">
        <f t="shared" si="26"/>
        <v>0</v>
      </c>
      <c r="L89" s="1061">
        <v>0</v>
      </c>
      <c r="M89" s="1061">
        <f t="shared" si="27"/>
        <v>0</v>
      </c>
      <c r="N89" s="1061">
        <f t="shared" si="27"/>
        <v>0</v>
      </c>
    </row>
    <row r="90" spans="1:37" ht="40.200000000000003" thickBot="1">
      <c r="A90" s="2135" t="s">
        <v>2072</v>
      </c>
      <c r="B90" s="2140" t="str">
        <f>估价对象房地状况!G18</f>
        <v>该园区内是否有污染型企业，绿化情况，卫生条件，整体环境状况判断</v>
      </c>
      <c r="C90" s="2041"/>
      <c r="D90" s="1062">
        <f t="shared" si="23"/>
        <v>0</v>
      </c>
      <c r="E90" s="746"/>
      <c r="F90" s="1811"/>
      <c r="G90" s="1060"/>
      <c r="H90" s="1063" t="str">
        <f t="shared" si="24"/>
        <v>——</v>
      </c>
      <c r="I90" s="3367">
        <v>0.05</v>
      </c>
      <c r="J90" s="1061">
        <f t="shared" si="25"/>
        <v>0</v>
      </c>
      <c r="K90" s="1061">
        <f t="shared" si="26"/>
        <v>0</v>
      </c>
      <c r="L90" s="1061">
        <v>0</v>
      </c>
      <c r="M90" s="1061">
        <f t="shared" si="27"/>
        <v>0</v>
      </c>
      <c r="N90" s="1061">
        <f t="shared" si="27"/>
        <v>0</v>
      </c>
    </row>
    <row r="91" spans="1:37" ht="13.8">
      <c r="A91" s="3376" t="s">
        <v>2615</v>
      </c>
      <c r="B91" s="3377">
        <f>1+E93</f>
        <v>1</v>
      </c>
      <c r="C91" s="3370"/>
      <c r="D91" s="3371"/>
      <c r="E91" s="1811"/>
      <c r="F91" s="1811"/>
      <c r="G91" s="3372"/>
      <c r="H91" s="3373"/>
      <c r="I91" s="3374"/>
      <c r="J91" s="3375"/>
      <c r="K91" s="3375"/>
      <c r="L91" s="3375"/>
      <c r="M91" s="3375"/>
      <c r="N91" s="3375"/>
    </row>
    <row r="92" spans="1:37" ht="25.2">
      <c r="A92" s="3378" t="s">
        <v>3280</v>
      </c>
      <c r="B92" s="3365"/>
      <c r="C92" s="3365" t="s">
        <v>3289</v>
      </c>
      <c r="D92" s="3365" t="s">
        <v>3290</v>
      </c>
      <c r="E92" s="3347" t="s">
        <v>3291</v>
      </c>
      <c r="F92" s="3380" t="s">
        <v>3292</v>
      </c>
      <c r="G92" s="3365" t="s">
        <v>3293</v>
      </c>
      <c r="H92" s="3387" t="s">
        <v>3296</v>
      </c>
      <c r="I92" s="3365" t="s">
        <v>3297</v>
      </c>
      <c r="J92" s="3388" t="s">
        <v>3298</v>
      </c>
      <c r="K92" s="3388" t="s">
        <v>3299</v>
      </c>
      <c r="L92" s="3388" t="s">
        <v>3300</v>
      </c>
      <c r="M92" s="3388" t="s">
        <v>3301</v>
      </c>
      <c r="N92" s="3388" t="s">
        <v>3302</v>
      </c>
    </row>
    <row r="93" spans="1:37" ht="24">
      <c r="A93" s="3368" t="s">
        <v>3281</v>
      </c>
      <c r="B93" s="1303"/>
      <c r="C93" s="2041"/>
      <c r="D93" s="3365">
        <f>SUMIF($J$92:$N$92,C93,J93:N93)</f>
        <v>0</v>
      </c>
      <c r="E93" s="3381">
        <f>ROUND(SUM(D93:D101),4)</f>
        <v>0</v>
      </c>
      <c r="F93" s="1811"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52.8">
      <c r="A94" s="3378" t="s">
        <v>3282</v>
      </c>
      <c r="B94" s="3369" t="str">
        <f>估价对象房地状况!C18</f>
        <v>估价对象周边道路状况、公共交通通达情况、停车便捷程度，综合评价交通便捷度较好</v>
      </c>
      <c r="C94" s="2041"/>
      <c r="D94" s="3365">
        <f t="shared" ref="D94:D101" si="31">SUMIF($J$60:$N$60,C94,J94:N94)</f>
        <v>0</v>
      </c>
      <c r="E94" s="3382"/>
      <c r="F94" s="1811"/>
      <c r="G94" s="3372"/>
      <c r="H94" s="3420" t="str">
        <f>IFERROR(ROUNDDOWN($F$93*I94/2,4),"——")</f>
        <v>——</v>
      </c>
      <c r="I94" s="3366">
        <v>0.26</v>
      </c>
      <c r="J94" s="3344">
        <f t="shared" si="28"/>
        <v>0</v>
      </c>
      <c r="K94" s="3344">
        <f t="shared" si="29"/>
        <v>0</v>
      </c>
      <c r="L94" s="3344">
        <v>0</v>
      </c>
      <c r="M94" s="3344">
        <f t="shared" si="30"/>
        <v>0</v>
      </c>
      <c r="N94" s="3344">
        <f t="shared" si="30"/>
        <v>0</v>
      </c>
    </row>
    <row r="95" spans="1:37" ht="48">
      <c r="A95" s="3368" t="s">
        <v>3278</v>
      </c>
      <c r="B95" s="3369">
        <f>估价对象房地状况!C19</f>
        <v>0</v>
      </c>
      <c r="C95" s="2041"/>
      <c r="D95" s="3365">
        <f t="shared" si="31"/>
        <v>0</v>
      </c>
      <c r="E95" s="3382"/>
      <c r="F95" s="1811"/>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7.200000000000003">
      <c r="A96" s="3378" t="s">
        <v>3283</v>
      </c>
      <c r="B96" s="3384" t="s">
        <v>3294</v>
      </c>
      <c r="C96" s="2041"/>
      <c r="D96" s="3365">
        <f t="shared" si="31"/>
        <v>0</v>
      </c>
      <c r="E96" s="3382"/>
      <c r="F96" s="1811"/>
      <c r="G96" s="3372"/>
      <c r="H96" s="3420" t="str">
        <f t="shared" si="32"/>
        <v>——</v>
      </c>
      <c r="I96" s="3366">
        <v>0.05</v>
      </c>
      <c r="J96" s="3344">
        <f t="shared" si="28"/>
        <v>0</v>
      </c>
      <c r="K96" s="3344">
        <f t="shared" si="29"/>
        <v>0</v>
      </c>
      <c r="L96" s="3344">
        <v>0</v>
      </c>
      <c r="M96" s="3344">
        <f t="shared" si="30"/>
        <v>0</v>
      </c>
      <c r="N96" s="3344">
        <f t="shared" si="30"/>
        <v>0</v>
      </c>
    </row>
    <row r="97" spans="1:14" ht="24">
      <c r="A97" s="3378" t="s">
        <v>3284</v>
      </c>
      <c r="B97" s="3369">
        <f>估价对象房地状况!C24</f>
        <v>0</v>
      </c>
      <c r="C97" s="2041"/>
      <c r="D97" s="3365">
        <f t="shared" si="31"/>
        <v>0</v>
      </c>
      <c r="E97" s="3382"/>
      <c r="F97" s="1811"/>
      <c r="G97" s="3372"/>
      <c r="H97" s="3420" t="str">
        <f t="shared" si="32"/>
        <v>——</v>
      </c>
      <c r="I97" s="3366">
        <v>0.05</v>
      </c>
      <c r="J97" s="3344">
        <f t="shared" si="28"/>
        <v>0</v>
      </c>
      <c r="K97" s="3344">
        <f t="shared" si="29"/>
        <v>0</v>
      </c>
      <c r="L97" s="3344">
        <v>0</v>
      </c>
      <c r="M97" s="3344">
        <f t="shared" si="30"/>
        <v>0</v>
      </c>
      <c r="N97" s="3344">
        <f t="shared" si="30"/>
        <v>0</v>
      </c>
    </row>
    <row r="98" spans="1:14" ht="36">
      <c r="A98" s="3378" t="s">
        <v>3285</v>
      </c>
      <c r="B98" s="3385" t="s">
        <v>3295</v>
      </c>
      <c r="C98" s="2041"/>
      <c r="D98" s="3365">
        <f t="shared" si="31"/>
        <v>0</v>
      </c>
      <c r="E98" s="3382"/>
      <c r="F98" s="1811"/>
      <c r="G98" s="3372"/>
      <c r="H98" s="3420" t="str">
        <f t="shared" si="32"/>
        <v>——</v>
      </c>
      <c r="I98" s="3366">
        <v>0.06</v>
      </c>
      <c r="J98" s="3344">
        <f t="shared" si="28"/>
        <v>0</v>
      </c>
      <c r="K98" s="3344">
        <f t="shared" si="29"/>
        <v>0</v>
      </c>
      <c r="L98" s="3344">
        <v>0</v>
      </c>
      <c r="M98" s="3344">
        <f t="shared" si="30"/>
        <v>0</v>
      </c>
      <c r="N98" s="3344">
        <f t="shared" si="30"/>
        <v>0</v>
      </c>
    </row>
    <row r="99" spans="1:14" ht="26.4">
      <c r="A99" s="3378" t="s">
        <v>3286</v>
      </c>
      <c r="B99" s="3369" t="str">
        <f>估价对象房地状况!C21</f>
        <v>估价对象所在区域公共配套设施齐备情况</v>
      </c>
      <c r="C99" s="2041"/>
      <c r="D99" s="3365">
        <f t="shared" si="31"/>
        <v>0</v>
      </c>
      <c r="E99" s="3382"/>
      <c r="F99" s="1811"/>
      <c r="G99" s="3372"/>
      <c r="H99" s="3420" t="str">
        <f t="shared" si="32"/>
        <v>——</v>
      </c>
      <c r="I99" s="3366">
        <v>0.06</v>
      </c>
      <c r="J99" s="3344">
        <f t="shared" si="28"/>
        <v>0</v>
      </c>
      <c r="K99" s="3344">
        <f t="shared" si="29"/>
        <v>0</v>
      </c>
      <c r="L99" s="3344">
        <v>0</v>
      </c>
      <c r="M99" s="3344">
        <f t="shared" si="30"/>
        <v>0</v>
      </c>
      <c r="N99" s="3344">
        <f t="shared" si="30"/>
        <v>0</v>
      </c>
    </row>
    <row r="100" spans="1:14" ht="26.4">
      <c r="A100" s="3378" t="s">
        <v>3287</v>
      </c>
      <c r="B100" s="3369" t="str">
        <f>估价对象房地状况!C22</f>
        <v>估价对象所在区域基础设施水平</v>
      </c>
      <c r="C100" s="2041"/>
      <c r="D100" s="3365">
        <f t="shared" si="31"/>
        <v>0</v>
      </c>
      <c r="E100" s="3382"/>
      <c r="F100" s="1811"/>
      <c r="G100" s="3372"/>
      <c r="H100" s="3420" t="str">
        <f t="shared" si="32"/>
        <v>——</v>
      </c>
      <c r="I100" s="3366">
        <v>0.09</v>
      </c>
      <c r="J100" s="3344">
        <f t="shared" si="28"/>
        <v>0</v>
      </c>
      <c r="K100" s="3344">
        <f t="shared" si="29"/>
        <v>0</v>
      </c>
      <c r="L100" s="3344">
        <v>0</v>
      </c>
      <c r="M100" s="3344">
        <f t="shared" si="30"/>
        <v>0</v>
      </c>
      <c r="N100" s="3344">
        <f t="shared" si="30"/>
        <v>0</v>
      </c>
    </row>
    <row r="101" spans="1:14" ht="40.200000000000003" thickBot="1">
      <c r="A101" s="3379" t="s">
        <v>3288</v>
      </c>
      <c r="B101" s="3386" t="str">
        <f>估价对象房地状况!C20</f>
        <v>区域自然环境：；人文环境；综合评价环境状况一般</v>
      </c>
      <c r="C101" s="2041"/>
      <c r="D101" s="3365">
        <f t="shared" si="31"/>
        <v>0</v>
      </c>
      <c r="E101" s="3383"/>
      <c r="F101" s="1811"/>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659" t="s">
        <v>3303</v>
      </c>
      <c r="B103" s="3659"/>
      <c r="C103" s="3659"/>
      <c r="D103" s="3659"/>
      <c r="E103" s="3659"/>
      <c r="F103" s="3659"/>
      <c r="G103" s="3659"/>
      <c r="H103" s="3659"/>
      <c r="I103" s="3659"/>
      <c r="J103" s="3659"/>
      <c r="K103" s="3389"/>
      <c r="L103" s="3389"/>
      <c r="M103" s="3389"/>
      <c r="N103" s="3389"/>
    </row>
    <row r="104" spans="1:14">
      <c r="A104" s="3660" t="s">
        <v>3304</v>
      </c>
      <c r="B104" s="3660" t="s">
        <v>3305</v>
      </c>
      <c r="C104" s="3390" t="s">
        <v>3306</v>
      </c>
      <c r="D104" s="3391"/>
      <c r="E104" s="3391"/>
      <c r="F104" s="3391"/>
      <c r="G104" s="3391"/>
      <c r="H104" s="3391"/>
      <c r="I104" s="3391"/>
      <c r="J104" s="3392"/>
      <c r="K104" s="3393"/>
      <c r="L104" s="3393"/>
      <c r="M104" s="3393"/>
      <c r="N104" s="3393"/>
    </row>
    <row r="105" spans="1:14">
      <c r="A105" s="3660"/>
      <c r="B105" s="3660"/>
      <c r="C105" s="3394" t="s">
        <v>3307</v>
      </c>
      <c r="D105" s="3394" t="s">
        <v>3308</v>
      </c>
      <c r="E105" s="3394" t="s">
        <v>3309</v>
      </c>
      <c r="F105" s="3394" t="s">
        <v>3310</v>
      </c>
      <c r="G105" s="3394" t="s">
        <v>3311</v>
      </c>
      <c r="H105" s="3394" t="s">
        <v>3312</v>
      </c>
      <c r="I105" s="3394" t="s">
        <v>3313</v>
      </c>
      <c r="J105" s="3394" t="s">
        <v>3314</v>
      </c>
      <c r="K105" s="3394" t="s">
        <v>3315</v>
      </c>
      <c r="L105" s="3394" t="s">
        <v>3316</v>
      </c>
      <c r="M105" s="3394" t="s">
        <v>3317</v>
      </c>
      <c r="N105" s="3394" t="s">
        <v>3318</v>
      </c>
    </row>
    <row r="106" spans="1:14">
      <c r="A106" s="3646" t="s">
        <v>3319</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64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64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64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64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647"/>
      <c r="B111" s="3394" t="s">
        <v>3277</v>
      </c>
      <c r="C111" s="3395">
        <f>$I$3</f>
        <v>1</v>
      </c>
      <c r="D111" s="3395">
        <f t="shared" ref="D111:M111" si="33">$I$3</f>
        <v>1</v>
      </c>
      <c r="E111" s="3395">
        <f t="shared" si="33"/>
        <v>1</v>
      </c>
      <c r="F111" s="3395">
        <f t="shared" si="33"/>
        <v>1</v>
      </c>
      <c r="G111" s="3395">
        <f t="shared" si="33"/>
        <v>1</v>
      </c>
      <c r="H111" s="3395">
        <f t="shared" si="33"/>
        <v>1</v>
      </c>
      <c r="I111" s="3395">
        <f t="shared" si="33"/>
        <v>1</v>
      </c>
      <c r="J111" s="3395">
        <f t="shared" si="33"/>
        <v>1</v>
      </c>
      <c r="K111" s="3395">
        <f t="shared" si="33"/>
        <v>1</v>
      </c>
      <c r="L111" s="3395">
        <f t="shared" si="33"/>
        <v>1</v>
      </c>
      <c r="M111" s="3395">
        <f t="shared" si="33"/>
        <v>1</v>
      </c>
      <c r="N111" s="3395">
        <f>$I$3</f>
        <v>1</v>
      </c>
    </row>
    <row r="112" spans="1:14">
      <c r="A112" s="3648"/>
      <c r="B112" s="3394">
        <v>6</v>
      </c>
      <c r="C112" s="3387">
        <f>(-0.5556*(C111^2)-0.2719*C111+8944)*(10^(-4))</f>
        <v>0.89431725000000006</v>
      </c>
      <c r="D112" s="3387">
        <f>(-0.5556*(D111^2)-0.2719*D111+8944)*(10^(-4))</f>
        <v>0.89431725000000006</v>
      </c>
      <c r="E112" s="3387">
        <f>(-0.7912*(E111^2)-11.3794*E111+8482)*(10^(-4))</f>
        <v>0.84698294000000007</v>
      </c>
      <c r="F112" s="3387">
        <f t="shared" ref="F112:I112" si="34">(-0.7912*(F111^2)-11.3794*F111+8482)*(10^(-4))</f>
        <v>0.84698294000000007</v>
      </c>
      <c r="G112" s="3387">
        <f t="shared" si="34"/>
        <v>0.84698294000000007</v>
      </c>
      <c r="H112" s="3387">
        <f t="shared" si="34"/>
        <v>0.84698294000000007</v>
      </c>
      <c r="I112" s="3387">
        <f t="shared" si="34"/>
        <v>0.84698294000000007</v>
      </c>
      <c r="J112" s="3387">
        <f>(-0.989*(J111^2)-63.78*J111+7771)*(10^(-4))</f>
        <v>0.77062310000000001</v>
      </c>
      <c r="K112" s="3387">
        <f t="shared" ref="K112:N112" si="35">(-0.989*(K111^2)-63.78*K111+7771)*(10^(-4))</f>
        <v>0.77062310000000001</v>
      </c>
      <c r="L112" s="3387">
        <f t="shared" si="35"/>
        <v>0.77062310000000001</v>
      </c>
      <c r="M112" s="3387">
        <f t="shared" si="35"/>
        <v>0.77062310000000001</v>
      </c>
      <c r="N112" s="3387">
        <f t="shared" si="35"/>
        <v>0.77062310000000001</v>
      </c>
    </row>
    <row r="113" spans="1:14">
      <c r="A113" s="3649" t="s">
        <v>3320</v>
      </c>
      <c r="B113" s="3649"/>
      <c r="C113" s="3649"/>
      <c r="D113" s="3649"/>
      <c r="E113" s="3649"/>
      <c r="F113" s="3649"/>
      <c r="G113" s="3649"/>
      <c r="H113" s="3649"/>
      <c r="I113" s="3649"/>
      <c r="J113" s="364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3321</v>
      </c>
      <c r="B116" s="3415">
        <f>G3</f>
        <v>1</v>
      </c>
      <c r="C116" s="3399" t="s">
        <v>3322</v>
      </c>
      <c r="D116" s="3400">
        <f>SUMPRODUCT((A118:A122=F116)*(B117:M117=H116)*B118:M122)</f>
        <v>0.93500000000000005</v>
      </c>
      <c r="E116" s="1997" t="s">
        <v>3323</v>
      </c>
      <c r="F116" s="3401" t="str">
        <f>E2</f>
        <v>商业</v>
      </c>
      <c r="G116" s="1997" t="s">
        <v>3324</v>
      </c>
      <c r="H116" s="3401" t="str">
        <f>G2</f>
        <v>五级</v>
      </c>
      <c r="I116" s="1997"/>
      <c r="J116" s="3402"/>
      <c r="K116" s="3402"/>
      <c r="L116" s="3402"/>
      <c r="M116" s="3402"/>
      <c r="N116" s="3397"/>
    </row>
    <row r="117" spans="1:14">
      <c r="A117" s="3403"/>
      <c r="B117" s="3404" t="s">
        <v>3325</v>
      </c>
      <c r="C117" s="3404" t="s">
        <v>3326</v>
      </c>
      <c r="D117" s="3404" t="s">
        <v>3327</v>
      </c>
      <c r="E117" s="3405" t="s">
        <v>3328</v>
      </c>
      <c r="F117" s="3405" t="s">
        <v>3329</v>
      </c>
      <c r="G117" s="3405" t="s">
        <v>3330</v>
      </c>
      <c r="H117" s="3406" t="s">
        <v>3331</v>
      </c>
      <c r="I117" s="3406" t="s">
        <v>3332</v>
      </c>
      <c r="J117" s="3407" t="s">
        <v>3333</v>
      </c>
      <c r="K117" s="3407" t="s">
        <v>3334</v>
      </c>
      <c r="L117" s="3407" t="s">
        <v>3335</v>
      </c>
      <c r="M117" s="3408" t="s">
        <v>3336</v>
      </c>
      <c r="N117" s="3397"/>
    </row>
    <row r="118" spans="1:14">
      <c r="A118" s="3409" t="s">
        <v>3337</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3338</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3339</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8" thickBot="1">
      <c r="A121" s="3411" t="s">
        <v>3340</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2615</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8" sqref="J38"/>
    </sheetView>
  </sheetViews>
  <sheetFormatPr defaultColWidth="9" defaultRowHeight="13.2"/>
  <cols>
    <col min="1" max="1" width="9" style="256" customWidth="1"/>
    <col min="2" max="2" width="20.6640625" style="653" customWidth="1"/>
    <col min="3" max="3" width="11.88671875" style="653" customWidth="1"/>
    <col min="4" max="4" width="40.44140625" style="256" customWidth="1"/>
    <col min="5" max="5" width="15.77734375" style="256" customWidth="1"/>
    <col min="6" max="6" width="10.6640625" style="256" customWidth="1"/>
    <col min="7" max="7" width="4.88671875" style="256" customWidth="1"/>
    <col min="8" max="8" width="8.44140625" style="256" customWidth="1"/>
    <col min="9" max="9" width="21.21875" style="256" customWidth="1"/>
    <col min="10" max="10" width="12.21875" style="256" customWidth="1"/>
    <col min="11" max="11" width="45.109375" style="1465" customWidth="1"/>
    <col min="12" max="12" width="16.33203125" style="256" customWidth="1"/>
    <col min="13" max="13" width="13" style="256" customWidth="1"/>
    <col min="14" max="14" width="13.77734375" style="1381" customWidth="1"/>
    <col min="15" max="15" width="5.109375" style="1381" customWidth="1"/>
    <col min="16" max="16" width="25.77734375" style="1381" customWidth="1"/>
    <col min="17" max="17" width="13.77734375" style="1381" customWidth="1"/>
    <col min="18" max="18" width="20.44140625" style="1381" customWidth="1"/>
    <col min="19" max="19" width="13.21875" style="1381" customWidth="1"/>
    <col min="20" max="37" width="9" style="1381"/>
    <col min="38" max="16384" width="9" style="256"/>
  </cols>
  <sheetData>
    <row r="1" spans="1:37" s="291" customFormat="1" ht="21.6">
      <c r="A1" s="1372" t="s">
        <v>877</v>
      </c>
      <c r="B1" s="711"/>
      <c r="C1" s="1376" t="s">
        <v>3380</v>
      </c>
      <c r="D1" s="1359" t="s">
        <v>43</v>
      </c>
      <c r="E1" s="1360" t="s">
        <v>678</v>
      </c>
      <c r="F1" s="1059">
        <f ca="1">J53</f>
        <v>19.350000000000001</v>
      </c>
      <c r="G1" s="1375">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f ca="1">C40+J29+L46</f>
        <v>2758</v>
      </c>
      <c r="C2" s="1384" t="s">
        <v>805</v>
      </c>
      <c r="D2" s="1384"/>
      <c r="E2" s="1385"/>
      <c r="F2" s="1386"/>
      <c r="G2" s="2703"/>
      <c r="H2" s="2692"/>
      <c r="I2" s="2692"/>
      <c r="J2" s="2692"/>
      <c r="K2" s="2693"/>
      <c r="L2" s="2692"/>
      <c r="M2" s="2692"/>
    </row>
    <row r="3" spans="1:37" ht="18" customHeight="1" thickBot="1">
      <c r="A3" s="1387" t="s">
        <v>806</v>
      </c>
      <c r="B3" s="1388">
        <f ca="1">IF(ISERROR(B2*10000/F43),0,ROUND(B2*10000/F43,0))</f>
        <v>134945</v>
      </c>
      <c r="C3" s="1384" t="s">
        <v>807</v>
      </c>
      <c r="D3" s="1384"/>
      <c r="E3" s="1385"/>
      <c r="F3" s="1386"/>
      <c r="G3" s="2703"/>
      <c r="H3" s="681" t="s">
        <v>876</v>
      </c>
      <c r="I3" s="1379"/>
      <c r="J3" s="1379"/>
      <c r="K3" s="1380"/>
      <c r="L3" s="1379"/>
      <c r="M3" s="1379"/>
    </row>
    <row r="4" spans="1:37" ht="18" customHeight="1">
      <c r="A4" s="293" t="s">
        <v>687</v>
      </c>
      <c r="B4" s="294" t="s">
        <v>688</v>
      </c>
      <c r="C4" s="294" t="s">
        <v>689</v>
      </c>
      <c r="D4" s="294" t="s">
        <v>690</v>
      </c>
      <c r="E4" s="295" t="s">
        <v>691</v>
      </c>
      <c r="F4" s="296"/>
      <c r="G4" s="1381"/>
      <c r="H4" s="293" t="s">
        <v>687</v>
      </c>
      <c r="I4" s="294" t="s">
        <v>688</v>
      </c>
      <c r="J4" s="294" t="s">
        <v>689</v>
      </c>
      <c r="K4" s="294" t="s">
        <v>690</v>
      </c>
      <c r="L4" s="295" t="s">
        <v>691</v>
      </c>
      <c r="M4" s="296"/>
    </row>
    <row r="5" spans="1:37" ht="18" customHeight="1">
      <c r="A5" s="297">
        <v>1</v>
      </c>
      <c r="B5" s="298" t="s">
        <v>692</v>
      </c>
      <c r="C5" s="1067">
        <f ca="1">C6+C10+C12</f>
        <v>215</v>
      </c>
      <c r="D5" s="1361" t="s">
        <v>693</v>
      </c>
      <c r="E5" s="1068"/>
      <c r="F5" s="1069"/>
      <c r="G5" s="1381"/>
      <c r="H5" s="297">
        <v>1</v>
      </c>
      <c r="I5" s="298" t="s">
        <v>692</v>
      </c>
      <c r="J5" s="1067">
        <f ca="1">J6+J10+J12</f>
        <v>315</v>
      </c>
      <c r="K5" s="1361" t="s">
        <v>693</v>
      </c>
      <c r="L5" s="1068"/>
      <c r="M5" s="1069"/>
    </row>
    <row r="6" spans="1:37" ht="18" customHeight="1">
      <c r="A6" s="1066" t="s">
        <v>398</v>
      </c>
      <c r="B6" s="3667" t="s">
        <v>694</v>
      </c>
      <c r="C6" s="1071">
        <f ca="1">ROUND(F6*F8*F7*(1-F9)/10000,0)</f>
        <v>200</v>
      </c>
      <c r="D6" s="153" t="s">
        <v>2109</v>
      </c>
      <c r="E6" s="300" t="s">
        <v>696</v>
      </c>
      <c r="F6" s="301">
        <f ca="1">INDIRECT("'数据-取费表'!u"&amp;$G$1)</f>
        <v>2000000</v>
      </c>
      <c r="G6" s="1381"/>
      <c r="H6" s="1066" t="s">
        <v>398</v>
      </c>
      <c r="I6" s="3667" t="s">
        <v>694</v>
      </c>
      <c r="J6" s="299">
        <f ca="1">ROUND(M6*M8*M7*(1-M9)/10000,0)</f>
        <v>300</v>
      </c>
      <c r="K6" s="153" t="s">
        <v>2108</v>
      </c>
      <c r="L6" s="300" t="s">
        <v>696</v>
      </c>
      <c r="M6" s="301">
        <f ca="1">INDIRECT("'数据-取费表'!z"&amp;$G$1)</f>
        <v>3000000</v>
      </c>
    </row>
    <row r="7" spans="1:37" ht="18" customHeight="1">
      <c r="A7" s="1070"/>
      <c r="B7" s="3668"/>
      <c r="C7" s="1072"/>
      <c r="D7" s="305"/>
      <c r="E7" s="1073" t="s">
        <v>697</v>
      </c>
      <c r="F7" s="301">
        <f ca="1">IF(INDIRECT("'数据-取费表'!ah"&amp;$G$1)="",INDIRECT("'数据-取费表'!k"&amp;$G$1),INDIRECT("'数据-取费表'!ah"&amp;$G$1))</f>
        <v>1</v>
      </c>
      <c r="G7" s="1381"/>
      <c r="H7" s="302"/>
      <c r="I7" s="3668"/>
      <c r="J7" s="304"/>
      <c r="K7" s="305"/>
      <c r="L7" s="300" t="s">
        <v>697</v>
      </c>
      <c r="M7" s="301">
        <f ca="1">F7</f>
        <v>1</v>
      </c>
    </row>
    <row r="8" spans="1:37" ht="18" customHeight="1">
      <c r="A8" s="302"/>
      <c r="B8" s="3668"/>
      <c r="C8" s="304"/>
      <c r="D8" s="305"/>
      <c r="E8" s="300" t="s">
        <v>698</v>
      </c>
      <c r="F8" s="301">
        <f ca="1">INDIRECT("'数据-取费表'!ai"&amp;$G$1)</f>
        <v>1</v>
      </c>
      <c r="G8" s="1381"/>
      <c r="H8" s="302"/>
      <c r="I8" s="3668"/>
      <c r="J8" s="304"/>
      <c r="K8" s="305"/>
      <c r="L8" s="300" t="s">
        <v>698</v>
      </c>
      <c r="M8" s="301">
        <f ca="1">INDIRECT("'数据-取费表'!ai"&amp;$G$1)</f>
        <v>1</v>
      </c>
    </row>
    <row r="9" spans="1:37" ht="18" customHeight="1">
      <c r="A9" s="302"/>
      <c r="B9" s="3669"/>
      <c r="C9" s="304"/>
      <c r="D9" s="305"/>
      <c r="E9" s="300" t="s">
        <v>699</v>
      </c>
      <c r="F9" s="310">
        <f ca="1">INDIRECT("'数据-取费表'!w"&amp;$G$1)</f>
        <v>0</v>
      </c>
      <c r="G9" s="1381"/>
      <c r="H9" s="302"/>
      <c r="I9" s="3669"/>
      <c r="J9" s="304"/>
      <c r="K9" s="305"/>
      <c r="L9" s="311" t="s">
        <v>699</v>
      </c>
      <c r="M9" s="312">
        <f ca="1">INDIRECT("'数据-取费表'!ab"&amp;$G$1)</f>
        <v>0</v>
      </c>
    </row>
    <row r="10" spans="1:37" ht="18" customHeight="1">
      <c r="A10" s="1066" t="s">
        <v>402</v>
      </c>
      <c r="B10" s="1362" t="s">
        <v>700</v>
      </c>
      <c r="C10" s="314">
        <f>ROUND(IF(F10="押一",C6/12*F11,IF(F10="押二",C6/12*2*F11,IF(F10="押三",C6/12*3*F11,C11*F11))),0)</f>
        <v>15</v>
      </c>
      <c r="D10" s="1363" t="s">
        <v>2117</v>
      </c>
      <c r="E10" s="311" t="s">
        <v>701</v>
      </c>
      <c r="F10" s="1113" t="s">
        <v>3400</v>
      </c>
      <c r="G10" s="1381"/>
      <c r="H10" s="1066" t="s">
        <v>402</v>
      </c>
      <c r="I10" s="1362" t="s">
        <v>700</v>
      </c>
      <c r="J10" s="299">
        <f>ROUND(IF(M10="押一",J6/12*M11,IF(M10="押二",J6/12*2*M11,IF(M10="押三",J6/12*3*M11,J11*M11))),0)</f>
        <v>15</v>
      </c>
      <c r="K10" s="1363" t="s">
        <v>2116</v>
      </c>
      <c r="L10" s="311" t="s">
        <v>701</v>
      </c>
      <c r="M10" s="1113" t="s">
        <v>3400</v>
      </c>
    </row>
    <row r="11" spans="1:37" ht="18" customHeight="1">
      <c r="A11" s="306"/>
      <c r="B11" s="1364" t="s">
        <v>679</v>
      </c>
      <c r="C11" s="956">
        <v>500</v>
      </c>
      <c r="D11" s="1365"/>
      <c r="E11" s="311" t="s">
        <v>702</v>
      </c>
      <c r="F11" s="3459">
        <v>0.03</v>
      </c>
      <c r="G11" s="1381"/>
      <c r="H11" s="1074"/>
      <c r="I11" s="1364" t="s">
        <v>679</v>
      </c>
      <c r="J11" s="956">
        <v>500</v>
      </c>
      <c r="K11" s="682"/>
      <c r="L11" s="311" t="s">
        <v>702</v>
      </c>
      <c r="M11" s="3458">
        <f>F11</f>
        <v>0.03</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8">
        <f ca="1">ROUND(C29*F13,0)</f>
        <v>180</v>
      </c>
      <c r="D13" s="1078" t="s">
        <v>705</v>
      </c>
      <c r="E13" s="1078" t="s">
        <v>706</v>
      </c>
      <c r="F13" s="1079">
        <f ca="1">INDIRECT("'数据-取费表'!y"&amp;$G$1)</f>
        <v>0.66</v>
      </c>
      <c r="G13" s="1381"/>
      <c r="H13" s="1076">
        <v>2</v>
      </c>
      <c r="I13" s="1077" t="s">
        <v>704</v>
      </c>
      <c r="J13" s="1065">
        <f ca="1">ROUND(J14*J15,0)</f>
        <v>163</v>
      </c>
      <c r="K13" s="1084" t="s">
        <v>705</v>
      </c>
      <c r="L13" s="1389"/>
      <c r="M13" s="1390"/>
    </row>
    <row r="14" spans="1:37" ht="18" customHeight="1">
      <c r="A14" s="979" t="s">
        <v>397</v>
      </c>
      <c r="B14" s="300" t="s">
        <v>707</v>
      </c>
      <c r="C14" s="316">
        <f ca="1">INDIRECT("'数据-取费表'!m"&amp;$G$1)+INDIRECT("'数据-取费表'!t"&amp;$G$1)</f>
        <v>204</v>
      </c>
      <c r="D14" s="1342" t="s">
        <v>708</v>
      </c>
      <c r="E14" s="1339"/>
      <c r="F14" s="317"/>
      <c r="G14" s="1381"/>
      <c r="H14" s="979" t="s">
        <v>398</v>
      </c>
      <c r="I14" s="300" t="s">
        <v>709</v>
      </c>
      <c r="J14" s="21">
        <f ca="1">C29</f>
        <v>272</v>
      </c>
      <c r="K14" s="12"/>
      <c r="L14" s="805"/>
      <c r="M14" s="806"/>
    </row>
    <row r="15" spans="1:37" s="1394" customFormat="1" ht="18" customHeight="1" thickBot="1">
      <c r="A15" s="979" t="s">
        <v>399</v>
      </c>
      <c r="B15" s="300" t="s">
        <v>710</v>
      </c>
      <c r="C15" s="21">
        <f ca="1">ROUND(C14*F15,0)</f>
        <v>6</v>
      </c>
      <c r="D15" s="318" t="s">
        <v>711</v>
      </c>
      <c r="E15" s="318" t="s">
        <v>712</v>
      </c>
      <c r="F15" s="319">
        <f>'数据-取费表'!B33</f>
        <v>0.03</v>
      </c>
      <c r="G15" s="1393"/>
      <c r="H15" s="1086" t="s">
        <v>402</v>
      </c>
      <c r="I15" s="1087" t="s">
        <v>706</v>
      </c>
      <c r="J15" s="1096">
        <f ca="1">INDIRECT("'数据-取费表'!ad"&amp;$G$1)</f>
        <v>0.6</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0" t="s">
        <v>713</v>
      </c>
      <c r="C16" s="21">
        <f ca="1">ROUND(INDIRECT("'数据-取费表'!m"&amp;$G$1)*F16,0)</f>
        <v>0</v>
      </c>
      <c r="D16" s="300" t="s">
        <v>711</v>
      </c>
      <c r="E16" s="300" t="s">
        <v>712</v>
      </c>
      <c r="F16" s="320">
        <f ca="1">IF(INDIRECT("'数据-取费表'!c"&amp;$G$1)="住宅",'数据-取费表'!B34,0)</f>
        <v>0</v>
      </c>
      <c r="G16" s="1381"/>
      <c r="H16" s="1076" t="s">
        <v>393</v>
      </c>
      <c r="I16" s="1077" t="s">
        <v>714</v>
      </c>
      <c r="J16" s="308">
        <f ca="1">ROUND(J17+J22+J23+J24,2)</f>
        <v>1.74</v>
      </c>
      <c r="K16" s="1084" t="s">
        <v>715</v>
      </c>
      <c r="L16" s="1085"/>
      <c r="M16" s="1069"/>
    </row>
    <row r="17" spans="1:37" s="1394" customFormat="1" ht="18" customHeight="1">
      <c r="A17" s="979" t="s">
        <v>681</v>
      </c>
      <c r="B17" s="300" t="s">
        <v>716</v>
      </c>
      <c r="C17" s="21">
        <f ca="1">ROUND(F17*(F43+INDIRECT("'数据-取费表'!S"&amp;$G$1))/10000,0)</f>
        <v>3</v>
      </c>
      <c r="D17" s="300" t="s">
        <v>717</v>
      </c>
      <c r="E17" s="300" t="s">
        <v>718</v>
      </c>
      <c r="F17" s="23">
        <f>'数据-取费表'!B35</f>
        <v>150</v>
      </c>
      <c r="G17" s="1393"/>
      <c r="H17" s="979" t="s">
        <v>398</v>
      </c>
      <c r="I17" s="300" t="s">
        <v>719</v>
      </c>
      <c r="J17" s="3457">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0" t="s">
        <v>722</v>
      </c>
      <c r="C18" s="21">
        <f ca="1">ROUND(C14*F18,0)</f>
        <v>3</v>
      </c>
      <c r="D18" s="300" t="s">
        <v>711</v>
      </c>
      <c r="E18" s="300" t="s">
        <v>712</v>
      </c>
      <c r="F18" s="320">
        <f>'数据-取费表'!B36</f>
        <v>1.4999999999999999E-2</v>
      </c>
      <c r="G18" s="1393"/>
      <c r="H18" s="979" t="s">
        <v>397</v>
      </c>
      <c r="I18" s="300" t="s">
        <v>723</v>
      </c>
      <c r="J18" s="21">
        <f ca="1">ROUND(J6*M18/(1+'数据-取费表'!C42),2)</f>
        <v>16</v>
      </c>
      <c r="K18" s="1341" t="s">
        <v>724</v>
      </c>
      <c r="L18" s="300" t="s">
        <v>712</v>
      </c>
      <c r="M18" s="320">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0" t="s">
        <v>725</v>
      </c>
      <c r="C19" s="21">
        <f ca="1">SUM(C14:C18)</f>
        <v>216</v>
      </c>
      <c r="D19" s="129" t="s">
        <v>726</v>
      </c>
      <c r="E19" s="1357"/>
      <c r="F19" s="23"/>
      <c r="G19" s="1381"/>
      <c r="H19" s="979" t="s">
        <v>399</v>
      </c>
      <c r="I19" s="300" t="s">
        <v>727</v>
      </c>
      <c r="J19" s="21">
        <f ca="1">IF(K19="按租金收入计税",ROUND(J6*M19/(1+'数据-取费表'!C42),2),ROUND(C29*M19*0.7,2))</f>
        <v>34.29</v>
      </c>
      <c r="K19" s="1367" t="s">
        <v>3344</v>
      </c>
      <c r="L19" s="300" t="s">
        <v>712</v>
      </c>
      <c r="M19" s="320">
        <f>IF(K19="按租金收入计税",'数据-取费表'!B51,'数据-取费表'!B50)</f>
        <v>0.12</v>
      </c>
    </row>
    <row r="20" spans="1:37" s="1394" customFormat="1" ht="18" customHeight="1">
      <c r="A20" s="979" t="s">
        <v>402</v>
      </c>
      <c r="B20" s="300" t="s">
        <v>728</v>
      </c>
      <c r="C20" s="21">
        <f ca="1">ROUND(C19*F20,0)</f>
        <v>6</v>
      </c>
      <c r="D20" s="321" t="s">
        <v>729</v>
      </c>
      <c r="E20" s="300" t="s">
        <v>712</v>
      </c>
      <c r="F20" s="320">
        <f>'数据-取费表'!B37</f>
        <v>0.03</v>
      </c>
      <c r="G20" s="1393"/>
      <c r="H20" s="979" t="s">
        <v>680</v>
      </c>
      <c r="I20" s="153" t="s">
        <v>730</v>
      </c>
      <c r="J20" s="22">
        <f ca="1">ROUND(M20*M21/10000,2)</f>
        <v>0.67</v>
      </c>
      <c r="K20" s="322" t="s">
        <v>731</v>
      </c>
      <c r="L20" s="300" t="s">
        <v>732</v>
      </c>
      <c r="M20" s="323">
        <f>'数据-取费表'!B52</f>
        <v>3</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0" t="s">
        <v>733</v>
      </c>
      <c r="C21" s="21" t="s">
        <v>15</v>
      </c>
      <c r="D21" s="321" t="s">
        <v>734</v>
      </c>
      <c r="E21" s="300" t="s">
        <v>735</v>
      </c>
      <c r="F21" s="320">
        <f>'数据-取费表'!B38</f>
        <v>0.03</v>
      </c>
      <c r="G21" s="1393"/>
      <c r="H21" s="324"/>
      <c r="I21" s="309"/>
      <c r="J21" s="26"/>
      <c r="K21" s="325"/>
      <c r="L21" s="300" t="s">
        <v>736</v>
      </c>
      <c r="M21" s="301">
        <f ca="1">INDIRECT("'数据-取费表'!r"&amp;$G$1)</f>
        <v>2229.4899999999998</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0" t="s">
        <v>737</v>
      </c>
      <c r="C22" s="21"/>
      <c r="D22" s="129" t="str">
        <f>IF(F23&lt;=1,"单利计息。","复利计息。")&amp;"建造成本、管理费用、销售费用产生的利息。"</f>
        <v>单利计息。建造成本、管理费用、销售费用产生的利息。</v>
      </c>
      <c r="E22" s="1357"/>
      <c r="F22" s="23"/>
      <c r="G22" s="1381"/>
      <c r="H22" s="979" t="s">
        <v>402</v>
      </c>
      <c r="I22" s="300" t="s">
        <v>738</v>
      </c>
      <c r="J22" s="21">
        <f ca="1">ROUND(J14*M22,2)</f>
        <v>0</v>
      </c>
      <c r="K22" s="1341" t="s">
        <v>739</v>
      </c>
      <c r="L22" s="300" t="s">
        <v>712</v>
      </c>
      <c r="M22" s="326">
        <f ca="1">INDIRECT("'数据-取费表'!Ak"&amp;$G$1)</f>
        <v>0</v>
      </c>
    </row>
    <row r="23" spans="1:37" s="1394" customFormat="1" ht="18" customHeight="1">
      <c r="A23" s="979" t="s">
        <v>397</v>
      </c>
      <c r="B23" s="300" t="s">
        <v>740</v>
      </c>
      <c r="C23" s="21">
        <f ca="1">IF('数据-取费表'!B22&lt;=1,ROUND(C19*F24*F23/2,0)+ROUND(C20*F24*F23/2,0),ROUND(C19*(POWER((1+F24),F23/2)-1),0)+ROUND(C20*(POWER((1+F24),F23/2)-1),0))</f>
        <v>4</v>
      </c>
      <c r="D23" s="327" t="str">
        <f>IF(F23&lt;=1,"(建造成本+管理费用)×利率×(建设周期÷2)","(建造成本+管理费用)×((1+利率)^(建设周期÷2)-1)")</f>
        <v>(建造成本+管理费用)×利率×(建设周期÷2)</v>
      </c>
      <c r="E23" s="300" t="s">
        <v>741</v>
      </c>
      <c r="F23" s="323">
        <f>'数据-取费表'!B20</f>
        <v>1</v>
      </c>
      <c r="G23" s="1393"/>
      <c r="H23" s="979" t="s">
        <v>437</v>
      </c>
      <c r="I23" s="300" t="s">
        <v>742</v>
      </c>
      <c r="J23" s="21">
        <f ca="1">ROUND(J13*M23,2)</f>
        <v>0.16</v>
      </c>
      <c r="K23" s="1341" t="s">
        <v>743</v>
      </c>
      <c r="L23" s="300" t="s">
        <v>744</v>
      </c>
      <c r="M23" s="328">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0" t="s">
        <v>746</v>
      </c>
      <c r="C24" s="21">
        <f ca="1">ROUND(IF('数据-取费表'!B22&lt;=1,F21*F24*F23/2,F21*(POWER((1+F24),F23/2)-1)),4)</f>
        <v>5.9999999999999995E-4</v>
      </c>
      <c r="D24" s="327" t="str">
        <f>IF(F23&lt;=1,"销售费用×利率×(建设周期÷2)","销售费用×((1+利率)^(建设周期÷2)-1)")</f>
        <v>销售费用×利率×(建设周期÷2)</v>
      </c>
      <c r="E24" s="300" t="s">
        <v>747</v>
      </c>
      <c r="F24" s="329">
        <f ca="1">'数据-取费表'!B40</f>
        <v>4.1499999999999995E-2</v>
      </c>
      <c r="G24" s="1393"/>
      <c r="H24" s="1086" t="s">
        <v>684</v>
      </c>
      <c r="I24" s="1087" t="s">
        <v>728</v>
      </c>
      <c r="J24" s="1088">
        <f ca="1">ROUND(J5*M24,2)</f>
        <v>1.58</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0" t="s">
        <v>750</v>
      </c>
      <c r="C25" s="21"/>
      <c r="D25" s="129" t="s">
        <v>751</v>
      </c>
      <c r="E25" s="1357"/>
      <c r="F25" s="23"/>
      <c r="G25" s="1381"/>
      <c r="H25" s="1076" t="s">
        <v>394</v>
      </c>
      <c r="I25" s="1091" t="s">
        <v>752</v>
      </c>
      <c r="J25" s="308">
        <f ca="1">J5-J16</f>
        <v>313.26</v>
      </c>
      <c r="K25" s="1092" t="s">
        <v>753</v>
      </c>
      <c r="L25" s="1093"/>
      <c r="M25" s="1094"/>
    </row>
    <row r="26" spans="1:37">
      <c r="A26" s="979" t="s">
        <v>397</v>
      </c>
      <c r="B26" s="300" t="s">
        <v>754</v>
      </c>
      <c r="C26" s="21">
        <f ca="1">ROUND((C19+C20)*F26,0)</f>
        <v>22</v>
      </c>
      <c r="D26" s="321" t="s">
        <v>755</v>
      </c>
      <c r="E26" s="311" t="s">
        <v>756</v>
      </c>
      <c r="F26" s="310">
        <f ca="1">INDIRECT("'数据-取费表'!q"&amp;$G$1)</f>
        <v>0.1</v>
      </c>
      <c r="G26" s="1381"/>
      <c r="H26" s="297" t="s">
        <v>395</v>
      </c>
      <c r="I26" s="298" t="s">
        <v>757</v>
      </c>
      <c r="J26" s="299">
        <f ca="1">IF(J5&lt;&gt;0,ROUND(J25*(1-((1+M28)/(1+M26))^M27)/(M26-M28),0),0)</f>
        <v>1471</v>
      </c>
      <c r="K26" s="322" t="s">
        <v>758</v>
      </c>
      <c r="L26" s="300" t="s">
        <v>759</v>
      </c>
      <c r="M26" s="310">
        <f ca="1">INDIRECT("'数据-取费表'!I"&amp;$G$1)</f>
        <v>5.5E-2</v>
      </c>
    </row>
    <row r="27" spans="1:37" ht="18" customHeight="1">
      <c r="A27" s="979" t="s">
        <v>399</v>
      </c>
      <c r="B27" s="300" t="s">
        <v>760</v>
      </c>
      <c r="C27" s="21">
        <f ca="1">ROUND(F21*F26,4)</f>
        <v>3.0000000000000001E-3</v>
      </c>
      <c r="D27" s="321" t="s">
        <v>761</v>
      </c>
      <c r="E27" s="318"/>
      <c r="F27" s="319"/>
      <c r="G27" s="1381"/>
      <c r="H27" s="302"/>
      <c r="I27" s="303"/>
      <c r="J27" s="304"/>
      <c r="K27" s="330" t="s">
        <v>762</v>
      </c>
      <c r="L27" s="300" t="s">
        <v>763</v>
      </c>
      <c r="M27" s="331">
        <f ca="1">INDIRECT("'数据-取费表'!ag"&amp;$G$1)</f>
        <v>5.5800000000000018</v>
      </c>
    </row>
    <row r="28" spans="1:37" s="1394" customFormat="1" ht="18" customHeight="1">
      <c r="A28" s="979" t="s">
        <v>400</v>
      </c>
      <c r="B28" s="300" t="s">
        <v>764</v>
      </c>
      <c r="C28" s="21">
        <f>ROUND(F28/(1+'数据-取费表'!C42),4)</f>
        <v>5.33E-2</v>
      </c>
      <c r="D28" s="321" t="s">
        <v>765</v>
      </c>
      <c r="E28" s="300" t="s">
        <v>712</v>
      </c>
      <c r="F28" s="320">
        <f>'数据-取费表'!B41</f>
        <v>5.6000000000000001E-2</v>
      </c>
      <c r="G28" s="1393"/>
      <c r="H28" s="306"/>
      <c r="I28" s="307"/>
      <c r="J28" s="308"/>
      <c r="K28" s="325"/>
      <c r="L28" s="300" t="s">
        <v>766</v>
      </c>
      <c r="M28" s="310">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272</v>
      </c>
      <c r="D29" s="1089"/>
      <c r="E29" s="1087"/>
      <c r="F29" s="1090"/>
      <c r="G29" s="1393"/>
      <c r="H29" s="332" t="s">
        <v>396</v>
      </c>
      <c r="I29" s="333" t="s">
        <v>768</v>
      </c>
      <c r="J29" s="334">
        <f ca="1">ROUND(J26/(1+F40)^F41,0)</f>
        <v>704</v>
      </c>
      <c r="K29" s="335" t="s">
        <v>769</v>
      </c>
      <c r="L29" s="336"/>
      <c r="M29" s="337">
        <f ca="1">INDIRECT("'数据-取费表'!k"&amp;$G$1)</f>
        <v>204.38</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8">
        <f ca="1">ROUND(C31+C36+C37+C38,2)</f>
        <v>1.26</v>
      </c>
      <c r="D30" s="1084" t="s">
        <v>715</v>
      </c>
      <c r="E30" s="1085"/>
      <c r="F30" s="1069"/>
      <c r="G30" s="1381"/>
      <c r="H30" s="2694"/>
      <c r="I30" s="1395"/>
      <c r="J30" s="1396"/>
      <c r="K30" s="2472"/>
      <c r="L30" s="2695"/>
      <c r="M30" s="2696"/>
    </row>
    <row r="31" spans="1:37" ht="18" customHeight="1">
      <c r="A31" s="979" t="s">
        <v>398</v>
      </c>
      <c r="B31" s="300" t="s">
        <v>719</v>
      </c>
      <c r="C31" s="3457">
        <v>0</v>
      </c>
      <c r="D31" s="1342" t="s">
        <v>720</v>
      </c>
      <c r="E31" s="1341" t="s">
        <v>770</v>
      </c>
      <c r="F31" s="2312" t="str">
        <f>IF(项目基本情况!B11="企业","——",IF(M47="住宅",IF(F6*F7*F8/12/(1+'数据-取费表'!F30)&gt;100000,4%,2.5%),IF(F6*F7*F8/12/(1+'数据-取费表'!F30)&gt;100000,12%,7%)))</f>
        <v>——</v>
      </c>
      <c r="G31" s="1381"/>
      <c r="H31" s="2805" t="s">
        <v>2310</v>
      </c>
      <c r="I31" s="1395"/>
      <c r="J31" s="1396"/>
      <c r="K31" s="2472"/>
      <c r="L31" s="2695"/>
      <c r="M31" s="2696"/>
    </row>
    <row r="32" spans="1:37" ht="18" customHeight="1">
      <c r="A32" s="979" t="s">
        <v>397</v>
      </c>
      <c r="B32" s="300" t="s">
        <v>723</v>
      </c>
      <c r="C32" s="21">
        <f ca="1">IF(项目基本情况!B11="自然人","——",ROUND(C6*F32/(1+'数据-取费表'!C42),2))</f>
        <v>10.67</v>
      </c>
      <c r="D32" s="1341" t="s">
        <v>724</v>
      </c>
      <c r="E32" s="300" t="s">
        <v>712</v>
      </c>
      <c r="F32" s="329">
        <f>'数据-取费表'!B41</f>
        <v>5.6000000000000001E-2</v>
      </c>
      <c r="G32" s="1381"/>
      <c r="H32" s="2694"/>
      <c r="I32" s="1395"/>
      <c r="J32" s="1396"/>
      <c r="K32" s="2472"/>
      <c r="L32" s="2695"/>
      <c r="M32" s="2696"/>
    </row>
    <row r="33" spans="1:18" ht="18" customHeight="1">
      <c r="A33" s="979" t="s">
        <v>399</v>
      </c>
      <c r="B33" s="300" t="s">
        <v>727</v>
      </c>
      <c r="C33" s="21">
        <f ca="1">IF(项目基本情况!B11="自然人","——",IF(D33="按租金收入计税",ROUND(C6*F33/(1+'数据-取费表'!C42),2),IF(D33="按房产原值计税",ROUND(C29*F33*0.7,2),INDIRECT("'数据-取费表'!Aj"&amp;$G$1))))</f>
        <v>2.2799999999999998</v>
      </c>
      <c r="D33" s="1367" t="s">
        <v>3403</v>
      </c>
      <c r="E33" s="300" t="s">
        <v>712</v>
      </c>
      <c r="F33" s="320">
        <f>IF(D33="按票据","——",IF(D33="按租金收入计税",'数据-取费表'!B51,'数据-取费表'!B50))</f>
        <v>1.2E-2</v>
      </c>
      <c r="G33" s="1381"/>
      <c r="H33" s="2697"/>
      <c r="I33" s="1395"/>
      <c r="J33" s="1396"/>
      <c r="K33" s="2698"/>
      <c r="L33" s="2697"/>
      <c r="M33" s="2697"/>
    </row>
    <row r="34" spans="1:18" ht="18" customHeight="1">
      <c r="A34" s="1066" t="s">
        <v>680</v>
      </c>
      <c r="B34" s="153" t="s">
        <v>730</v>
      </c>
      <c r="C34" s="22">
        <f ca="1">IF(项目基本情况!B11="自然人","——",ROUND(F34*F35/10000,2))</f>
        <v>0.67</v>
      </c>
      <c r="D34" s="322" t="s">
        <v>731</v>
      </c>
      <c r="E34" s="300" t="s">
        <v>732</v>
      </c>
      <c r="F34" s="323">
        <f>'数据-取费表'!B52</f>
        <v>3</v>
      </c>
      <c r="G34" s="1381"/>
      <c r="H34" s="2694"/>
      <c r="I34" s="1395"/>
      <c r="J34" s="1396"/>
      <c r="K34" s="2699"/>
      <c r="L34" s="2700"/>
      <c r="M34" s="2700"/>
    </row>
    <row r="35" spans="1:18" ht="18" customHeight="1">
      <c r="A35" s="1100"/>
      <c r="B35" s="1098"/>
      <c r="C35" s="26"/>
      <c r="D35" s="325"/>
      <c r="E35" s="300" t="s">
        <v>736</v>
      </c>
      <c r="F35" s="301">
        <f ca="1">INDIRECT("'数据-取费表'!r"&amp;$G$1)</f>
        <v>2229.4899999999998</v>
      </c>
      <c r="G35" s="1381"/>
      <c r="H35" s="2694"/>
      <c r="I35" s="1395"/>
      <c r="J35" s="1396"/>
      <c r="K35" s="2698"/>
      <c r="L35" s="2697"/>
      <c r="M35" s="2697"/>
    </row>
    <row r="36" spans="1:18" ht="18" customHeight="1">
      <c r="A36" s="1099" t="s">
        <v>402</v>
      </c>
      <c r="B36" s="300" t="s">
        <v>738</v>
      </c>
      <c r="C36" s="21">
        <f ca="1">ROUND(C29*F36,2)</f>
        <v>0</v>
      </c>
      <c r="D36" s="1341" t="s">
        <v>771</v>
      </c>
      <c r="E36" s="300" t="s">
        <v>712</v>
      </c>
      <c r="F36" s="326">
        <f ca="1">INDIRECT("'数据-取费表'!Ak"&amp;$G$1)</f>
        <v>0</v>
      </c>
      <c r="G36" s="1381"/>
      <c r="H36" s="2697"/>
      <c r="I36" s="1395"/>
      <c r="J36" s="1396"/>
      <c r="K36" s="2541"/>
      <c r="L36" s="2697"/>
      <c r="M36" s="2697"/>
    </row>
    <row r="37" spans="1:18" ht="18" customHeight="1">
      <c r="A37" s="979" t="s">
        <v>437</v>
      </c>
      <c r="B37" s="300" t="s">
        <v>742</v>
      </c>
      <c r="C37" s="21">
        <f ca="1">ROUND(C13*F37,2)</f>
        <v>0.18</v>
      </c>
      <c r="D37" s="1341" t="s">
        <v>743</v>
      </c>
      <c r="E37" s="300" t="s">
        <v>744</v>
      </c>
      <c r="F37" s="328">
        <f ca="1">INDIRECT("'数据-取费表'!Al"&amp;$G$1)</f>
        <v>1E-3</v>
      </c>
      <c r="G37" s="1381"/>
      <c r="H37" s="2697"/>
      <c r="I37" s="1395"/>
      <c r="J37" s="1396"/>
      <c r="K37" s="2541"/>
      <c r="L37" s="2697"/>
      <c r="M37" s="2697"/>
    </row>
    <row r="38" spans="1:18" ht="18" customHeight="1" thickBot="1">
      <c r="A38" s="1086" t="s">
        <v>684</v>
      </c>
      <c r="B38" s="1087" t="s">
        <v>728</v>
      </c>
      <c r="C38" s="1088">
        <f ca="1">ROUND(C5*F38,2)</f>
        <v>1.08</v>
      </c>
      <c r="D38" s="1089" t="s">
        <v>748</v>
      </c>
      <c r="E38" s="1087" t="s">
        <v>744</v>
      </c>
      <c r="F38" s="1083">
        <f ca="1">INDIRECT("'数据-取费表'!Am"&amp;$G$1)</f>
        <v>5.0000000000000001E-3</v>
      </c>
      <c r="G38" s="1381"/>
      <c r="H38" s="2697"/>
      <c r="I38" s="1395"/>
      <c r="J38" s="1396"/>
      <c r="K38" s="2701"/>
      <c r="L38" s="2697"/>
      <c r="M38" s="2697"/>
    </row>
    <row r="39" spans="1:18" ht="24.6" customHeight="1" thickTop="1">
      <c r="A39" s="1076" t="s">
        <v>394</v>
      </c>
      <c r="B39" s="1091" t="s">
        <v>772</v>
      </c>
      <c r="C39" s="308">
        <f ca="1">C5-C30</f>
        <v>213.74</v>
      </c>
      <c r="D39" s="1092" t="s">
        <v>773</v>
      </c>
      <c r="E39" s="1093"/>
      <c r="F39" s="1094"/>
      <c r="G39" s="1381"/>
      <c r="H39" s="2697"/>
      <c r="I39" s="1395"/>
      <c r="J39" s="1396"/>
      <c r="K39" s="2701"/>
      <c r="L39" s="2697"/>
      <c r="M39" s="2697"/>
    </row>
    <row r="40" spans="1:18" ht="18" customHeight="1">
      <c r="A40" s="297" t="s">
        <v>395</v>
      </c>
      <c r="B40" s="298" t="s">
        <v>774</v>
      </c>
      <c r="C40" s="299">
        <f ca="1">ROUND(C39*(1-((1+F42)/(1+F40))^F41)/(F40-F42),0)</f>
        <v>2027</v>
      </c>
      <c r="D40" s="322" t="s">
        <v>758</v>
      </c>
      <c r="E40" s="300" t="s">
        <v>759</v>
      </c>
      <c r="F40" s="310">
        <f ca="1">INDIRECT("'数据-取费表'!I"&amp;$G$1)</f>
        <v>5.5E-2</v>
      </c>
      <c r="G40" s="1381"/>
      <c r="H40" s="1458"/>
      <c r="I40" s="1395"/>
      <c r="J40" s="1396"/>
      <c r="K40" s="2701"/>
      <c r="L40" s="1458"/>
      <c r="M40" s="1458"/>
    </row>
    <row r="41" spans="1:18" ht="18" customHeight="1">
      <c r="A41" s="302"/>
      <c r="B41" s="303"/>
      <c r="C41" s="304"/>
      <c r="D41" s="330" t="s">
        <v>775</v>
      </c>
      <c r="E41" s="300" t="s">
        <v>763</v>
      </c>
      <c r="F41" s="331">
        <f ca="1">IF(INDIRECT("'数据-取费表'!af"&amp;$G$1)=0,INDIRECT("'数据-取费表'!ae"&amp;$G$1),INDIRECT("'数据-取费表'!af"&amp;$G$1))</f>
        <v>13.77</v>
      </c>
      <c r="G41" s="1381"/>
      <c r="H41" s="1188"/>
      <c r="I41" s="1395"/>
      <c r="J41" s="1396"/>
      <c r="K41" s="2541"/>
      <c r="L41" s="1188"/>
      <c r="M41" s="1188"/>
    </row>
    <row r="42" spans="1:18" ht="18" customHeight="1">
      <c r="A42" s="306"/>
      <c r="B42" s="307"/>
      <c r="C42" s="308"/>
      <c r="D42" s="325"/>
      <c r="E42" s="300" t="s">
        <v>766</v>
      </c>
      <c r="F42" s="310">
        <f ca="1">INDIRECT("'数据-取费表'!v"&amp;$G$1)</f>
        <v>0</v>
      </c>
      <c r="G42" s="1381"/>
      <c r="H42" s="1188"/>
      <c r="I42" s="1395"/>
      <c r="J42" s="1396"/>
      <c r="K42" s="2541"/>
      <c r="L42" s="1188"/>
      <c r="M42" s="1188"/>
    </row>
    <row r="43" spans="1:18" ht="18" customHeight="1" thickBot="1">
      <c r="A43" s="332" t="s">
        <v>396</v>
      </c>
      <c r="B43" s="333" t="s">
        <v>776</v>
      </c>
      <c r="C43" s="334">
        <f ca="1">ROUND(C40*10000/F43,0)</f>
        <v>99178</v>
      </c>
      <c r="D43" s="335" t="s">
        <v>777</v>
      </c>
      <c r="E43" s="336" t="s">
        <v>778</v>
      </c>
      <c r="F43" s="337">
        <f ca="1">INDIRECT("'数据-取费表'!k"&amp;$G$1)</f>
        <v>204.38</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8" thickBot="1">
      <c r="A46" s="1401" t="s">
        <v>809</v>
      </c>
      <c r="C46" s="1402">
        <f ca="1">C68-C40</f>
        <v>-2036</v>
      </c>
      <c r="D46" s="1403" t="str">
        <f>C2</f>
        <v>万元</v>
      </c>
      <c r="E46" s="1397"/>
      <c r="F46" s="1397"/>
      <c r="I46" s="1404" t="s">
        <v>810</v>
      </c>
      <c r="J46" s="1405"/>
      <c r="K46" s="1406"/>
      <c r="L46" s="1407">
        <f ca="1">IF(M47="住宅",0,IF(L48&gt;J51,L60,J60))</f>
        <v>27</v>
      </c>
      <c r="O46" s="1408" t="s">
        <v>811</v>
      </c>
      <c r="P46" s="1409" t="s">
        <v>812</v>
      </c>
      <c r="Q46" s="1410" t="s">
        <v>813</v>
      </c>
      <c r="R46" s="1410" t="s">
        <v>814</v>
      </c>
    </row>
    <row r="47" spans="1:18" s="1381" customFormat="1" ht="13.8" thickBot="1">
      <c r="A47" s="943" t="s">
        <v>687</v>
      </c>
      <c r="B47" s="975" t="s">
        <v>688</v>
      </c>
      <c r="C47" s="1114" t="s">
        <v>689</v>
      </c>
      <c r="D47" s="975" t="s">
        <v>690</v>
      </c>
      <c r="E47" s="1055" t="s">
        <v>691</v>
      </c>
      <c r="F47" s="1056"/>
      <c r="G47" s="720"/>
      <c r="I47" s="1411" t="s">
        <v>815</v>
      </c>
      <c r="J47" s="1412" t="s">
        <v>3401</v>
      </c>
      <c r="K47" s="1413" t="s">
        <v>816</v>
      </c>
      <c r="L47" s="1414">
        <f ca="1">INDIRECT("'数据-取费表'!d"&amp;$G$1)</f>
        <v>40</v>
      </c>
      <c r="M47" s="1377" t="str">
        <f>IF(ISNUMBER(FIND("住宅",C1)),"住宅","非住宅")</f>
        <v>非住宅</v>
      </c>
      <c r="O47" s="1415" t="s">
        <v>403</v>
      </c>
      <c r="P47" s="1416" t="s">
        <v>817</v>
      </c>
      <c r="Q47" s="1417">
        <f ca="1">C40+J29</f>
        <v>2731</v>
      </c>
      <c r="R47" s="1417" t="s">
        <v>818</v>
      </c>
    </row>
    <row r="48" spans="1:18" s="1381" customFormat="1" ht="40.200000000000003" thickBot="1">
      <c r="A48" s="1107" t="s">
        <v>438</v>
      </c>
      <c r="B48" s="298" t="s">
        <v>692</v>
      </c>
      <c r="C48" s="1356">
        <f ca="1">C49+C53+C55</f>
        <v>0</v>
      </c>
      <c r="D48" s="1109"/>
      <c r="E48" s="1110"/>
      <c r="F48" s="959"/>
      <c r="G48" s="720"/>
      <c r="H48" s="721"/>
      <c r="I48" s="1418" t="s">
        <v>819</v>
      </c>
      <c r="J48" s="1419" t="s">
        <v>3402</v>
      </c>
      <c r="K48" s="1420" t="s">
        <v>820</v>
      </c>
      <c r="L48" s="1421">
        <f ca="1">INDIRECT("'数据-取费表'!f"&amp;$G$1)</f>
        <v>19.350000000000001</v>
      </c>
      <c r="O48" s="1415" t="s">
        <v>404</v>
      </c>
      <c r="P48" s="1416" t="s">
        <v>821</v>
      </c>
      <c r="Q48" s="1417">
        <f ca="1">J60</f>
        <v>27</v>
      </c>
      <c r="R48" s="1417" t="s">
        <v>822</v>
      </c>
    </row>
    <row r="49" spans="1:18" s="1381" customFormat="1" ht="13.8" thickBot="1">
      <c r="A49" s="972" t="s">
        <v>439</v>
      </c>
      <c r="B49" s="1368" t="s">
        <v>779</v>
      </c>
      <c r="C49" s="1111">
        <f ca="1">ROUND(F49*F51*F50*(1-F52)/10000,0)</f>
        <v>0</v>
      </c>
      <c r="D49" s="1052" t="s">
        <v>2110</v>
      </c>
      <c r="E49" s="1369" t="s">
        <v>780</v>
      </c>
      <c r="F49" s="1057"/>
      <c r="G49" s="1422"/>
      <c r="H49" s="721"/>
      <c r="I49" s="1418" t="s">
        <v>823</v>
      </c>
      <c r="J49" s="1423">
        <v>2002</v>
      </c>
      <c r="K49" s="1420" t="s">
        <v>824</v>
      </c>
      <c r="L49" s="1424"/>
      <c r="O49" s="1425" t="s">
        <v>405</v>
      </c>
      <c r="P49" s="1416" t="s">
        <v>825</v>
      </c>
      <c r="Q49" s="1417">
        <f ca="1">C29</f>
        <v>272</v>
      </c>
      <c r="R49" s="1417" t="s">
        <v>818</v>
      </c>
    </row>
    <row r="50" spans="1:18" s="1381" customFormat="1" ht="13.8" thickBot="1">
      <c r="A50" s="973"/>
      <c r="B50" s="976"/>
      <c r="C50" s="1115"/>
      <c r="D50" s="950"/>
      <c r="E50" s="1053" t="s">
        <v>697</v>
      </c>
      <c r="F50" s="1054">
        <f ca="1">F7</f>
        <v>1</v>
      </c>
      <c r="H50" s="721"/>
      <c r="I50" s="1418" t="s">
        <v>826</v>
      </c>
      <c r="J50" s="1426">
        <f>SUMPRODUCT((I63:I65=J47)*(J62:L62=J48)*(J63:L65))</f>
        <v>50</v>
      </c>
      <c r="K50" s="1420" t="s">
        <v>827</v>
      </c>
      <c r="L50" s="1424"/>
      <c r="M50" s="1427"/>
      <c r="O50" s="1425" t="s">
        <v>406</v>
      </c>
      <c r="P50" s="1416" t="s">
        <v>828</v>
      </c>
      <c r="Q50" s="1428">
        <f ca="1">J58</f>
        <v>0.4</v>
      </c>
      <c r="R50" s="1417"/>
    </row>
    <row r="51" spans="1:18" s="1381" customFormat="1" ht="13.8" thickBot="1">
      <c r="A51" s="974"/>
      <c r="B51" s="976"/>
      <c r="C51" s="977"/>
      <c r="D51" s="950"/>
      <c r="E51" s="978" t="s">
        <v>698</v>
      </c>
      <c r="F51" s="301">
        <f ca="1">F8</f>
        <v>1</v>
      </c>
      <c r="I51" s="1429" t="s">
        <v>829</v>
      </c>
      <c r="J51" s="1430">
        <f>IF(J49="",J50,J49+J50-YEAR('数据-取费表'!B2))</f>
        <v>30</v>
      </c>
      <c r="K51" s="1431" t="s">
        <v>830</v>
      </c>
      <c r="L51" s="1432">
        <f ca="1">ROUND(-PV(INDIRECT("'数据-取费表'!h"&amp;$G$1),J51,(C39-C13*C76),0),0)</f>
        <v>3092</v>
      </c>
      <c r="M51" s="1433"/>
      <c r="O51" s="1425" t="s">
        <v>407</v>
      </c>
      <c r="P51" s="1416" t="s">
        <v>831</v>
      </c>
      <c r="Q51" s="1428">
        <f>J52</f>
        <v>7.4999999999999997E-2</v>
      </c>
      <c r="R51" s="1417"/>
    </row>
    <row r="52" spans="1:18" s="1381" customFormat="1" ht="13.8" thickBot="1">
      <c r="A52" s="974"/>
      <c r="B52" s="976"/>
      <c r="C52" s="977"/>
      <c r="D52" s="950"/>
      <c r="E52" s="978" t="s">
        <v>699</v>
      </c>
      <c r="F52" s="1051"/>
      <c r="I52" s="1434" t="s">
        <v>832</v>
      </c>
      <c r="J52" s="1435">
        <v>7.4999999999999997E-2</v>
      </c>
      <c r="K52" s="1434" t="s">
        <v>833</v>
      </c>
      <c r="L52" s="1435"/>
      <c r="O52" s="1425" t="s">
        <v>408</v>
      </c>
      <c r="P52" s="1416" t="s">
        <v>834</v>
      </c>
      <c r="Q52" s="1417">
        <f ca="1">J53</f>
        <v>19.350000000000001</v>
      </c>
      <c r="R52" s="1417" t="s">
        <v>835</v>
      </c>
    </row>
    <row r="53" spans="1:18" s="1381" customFormat="1" ht="36.6" thickBot="1">
      <c r="A53" s="1149" t="s">
        <v>440</v>
      </c>
      <c r="B53" s="1370" t="s">
        <v>700</v>
      </c>
      <c r="C53" s="314">
        <f>ROUND(IF(F53="押一",C49/12*F11,IF(F53="押二",C49/12*2*F11,IF(F53="押三",C49/12*3*F11,C54*F11))),0)</f>
        <v>0</v>
      </c>
      <c r="D53" s="1363" t="s">
        <v>2116</v>
      </c>
      <c r="E53" s="311" t="s">
        <v>701</v>
      </c>
      <c r="F53" s="1113"/>
      <c r="I53" s="1436" t="s">
        <v>836</v>
      </c>
      <c r="J53" s="2165">
        <f ca="1">IF(M47="住宅",IF(D1="——",MAX(J51,L48),MAX(J51,L48-'数据-取费表'!B24)),IF(D1="——",MIN(J51,L48),MIN(J51,L48-'数据-取费表'!B24)))</f>
        <v>19.350000000000001</v>
      </c>
      <c r="K53" s="3665" t="s">
        <v>837</v>
      </c>
      <c r="L53" s="3666"/>
      <c r="O53" s="1415" t="s">
        <v>409</v>
      </c>
      <c r="P53" s="1416" t="s">
        <v>838</v>
      </c>
      <c r="Q53" s="1417">
        <f ca="1">Q47+Q48</f>
        <v>2758</v>
      </c>
      <c r="R53" s="1417" t="s">
        <v>410</v>
      </c>
    </row>
    <row r="54" spans="1:18" s="1381" customFormat="1" ht="24.6"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8" thickBot="1">
      <c r="A55" s="1080" t="s">
        <v>437</v>
      </c>
      <c r="B55" s="1366" t="s">
        <v>703</v>
      </c>
      <c r="C55" s="1081"/>
      <c r="D55" s="1363"/>
      <c r="E55" s="1371"/>
      <c r="F55" s="1437"/>
      <c r="I55" s="1440" t="s">
        <v>840</v>
      </c>
      <c r="J55" s="1441">
        <f ca="1">ROUND(IF(J47="钢混",J57/J50,1-(1-2%)*(J50-J57)/J50),3)</f>
        <v>0.22900000000000001</v>
      </c>
      <c r="K55" s="1442" t="s">
        <v>841</v>
      </c>
      <c r="L55" s="1443"/>
      <c r="O55" s="1408" t="s">
        <v>811</v>
      </c>
      <c r="P55" s="1409" t="s">
        <v>812</v>
      </c>
      <c r="Q55" s="1410" t="s">
        <v>813</v>
      </c>
      <c r="R55" s="1410" t="s">
        <v>814</v>
      </c>
    </row>
    <row r="56" spans="1:18" s="1381" customFormat="1" ht="37.200000000000003" thickTop="1" thickBot="1">
      <c r="A56" s="954">
        <v>2</v>
      </c>
      <c r="B56" s="955" t="s">
        <v>704</v>
      </c>
      <c r="C56" s="230">
        <f ca="1">C13</f>
        <v>180</v>
      </c>
      <c r="D56" s="1444"/>
      <c r="E56" s="1445"/>
      <c r="F56" s="1437"/>
      <c r="I56" s="1446" t="s">
        <v>842</v>
      </c>
      <c r="J56" s="1447" t="s">
        <v>3406</v>
      </c>
      <c r="K56" s="1418" t="s">
        <v>843</v>
      </c>
      <c r="L56" s="1421" t="str">
        <f ca="1">IF(L48&lt;J51,"——",L48-J53)</f>
        <v>——</v>
      </c>
      <c r="O56" s="1415" t="s">
        <v>403</v>
      </c>
      <c r="P56" s="1416" t="s">
        <v>817</v>
      </c>
      <c r="Q56" s="1417">
        <f ca="1">C40+J29</f>
        <v>2731</v>
      </c>
      <c r="R56" s="1417" t="s">
        <v>818</v>
      </c>
    </row>
    <row r="57" spans="1:18" s="1381" customFormat="1" ht="24.6" thickBot="1">
      <c r="A57" s="1448"/>
      <c r="B57" s="947" t="s">
        <v>767</v>
      </c>
      <c r="C57" s="236">
        <f ca="1">C29</f>
        <v>272</v>
      </c>
      <c r="D57" s="1449"/>
      <c r="E57" s="1450"/>
      <c r="F57" s="1451"/>
      <c r="I57" s="1452" t="s">
        <v>844</v>
      </c>
      <c r="J57" s="1453">
        <f ca="1">IF(OR(M47="住宅",J51&lt;L48,J56="是"),"——",J51-L48)</f>
        <v>10.649999999999999</v>
      </c>
      <c r="K57" s="1418" t="s">
        <v>845</v>
      </c>
      <c r="L57" s="1421" t="str">
        <f ca="1">IF(L48&lt;J51,"——",IF(L55="比较法",L49,IF(L55="基准地价",L50,L51)))</f>
        <v>——</v>
      </c>
      <c r="O57" s="1415" t="s">
        <v>404</v>
      </c>
      <c r="P57" s="1416" t="s">
        <v>846</v>
      </c>
      <c r="Q57" s="1417">
        <f ca="1">L60</f>
        <v>0</v>
      </c>
      <c r="R57" s="1417" t="s">
        <v>847</v>
      </c>
    </row>
    <row r="58" spans="1:18" s="1381" customFormat="1" ht="24.6" thickBot="1">
      <c r="A58" s="313" t="s">
        <v>393</v>
      </c>
      <c r="B58" s="955" t="s">
        <v>714</v>
      </c>
      <c r="C58" s="314">
        <f ca="1">ROUND(C59+C64+C65+C66,0)</f>
        <v>1</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6" thickBot="1">
      <c r="A59" s="979" t="s">
        <v>398</v>
      </c>
      <c r="B59" s="947" t="s">
        <v>719</v>
      </c>
      <c r="C59" s="2313">
        <f ca="1">ROUND(IF(AND(项目基本情况!B11="自然人",项目基本情况!B10="北京市"),C49*F59/(1+'数据-取费表'!C42),C60+C61+C62),0)</f>
        <v>1</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109</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2" thickBot="1">
      <c r="A60" s="979" t="s">
        <v>397</v>
      </c>
      <c r="B60" s="947" t="s">
        <v>723</v>
      </c>
      <c r="C60" s="21">
        <f ca="1">IF(项目基本情况!B11="自然人","——",ROUND(C48*F60/(1+'数据-取费表'!C42),2))</f>
        <v>0</v>
      </c>
      <c r="D60" s="961" t="s">
        <v>724</v>
      </c>
      <c r="E60" s="947" t="s">
        <v>712</v>
      </c>
      <c r="F60" s="329">
        <f t="shared" ref="F60:F66" si="0">F32</f>
        <v>5.6000000000000001E-2</v>
      </c>
      <c r="I60" s="1455" t="s">
        <v>853</v>
      </c>
      <c r="J60" s="1456">
        <f ca="1">IF(OR(M47="住宅",J51&lt;L48,J56="是"),"0",ROUND(J59/(1+J52)^J53,0))</f>
        <v>27</v>
      </c>
      <c r="K60" s="1457" t="s">
        <v>854</v>
      </c>
      <c r="L60" s="1456">
        <f ca="1">IF(OR(M47="住宅",L48&lt;J51),0,ROUND(L57*(L58/L59-1),0))</f>
        <v>0</v>
      </c>
      <c r="O60" s="1425" t="s">
        <v>407</v>
      </c>
      <c r="P60" s="1416" t="s">
        <v>855</v>
      </c>
      <c r="Q60" s="1417" t="e">
        <f ca="1">L58</f>
        <v>#DIV/0!</v>
      </c>
      <c r="R60" s="1417" t="s">
        <v>856</v>
      </c>
    </row>
    <row r="61" spans="1:18" s="1381" customFormat="1" ht="13.8" thickBot="1">
      <c r="A61" s="979" t="s">
        <v>781</v>
      </c>
      <c r="B61" s="947" t="s">
        <v>782</v>
      </c>
      <c r="C61" s="21">
        <f ca="1">IF(项目基本情况!B11="自然人","——",IF(D61="按租金收入计税",ROUND(C49*F61/(1+'数据-取费表'!C42),2),IF(D61="按房产原值计税",ROUND(C57*F61*0.7,2),INDIRECT("'数据-取费表'!Aj"&amp;$G$1))))</f>
        <v>0</v>
      </c>
      <c r="D61" s="1367" t="s">
        <v>3344</v>
      </c>
      <c r="E61" s="947" t="s">
        <v>783</v>
      </c>
      <c r="F61" s="320">
        <f t="shared" si="0"/>
        <v>1.2E-2</v>
      </c>
      <c r="I61" s="1458"/>
      <c r="J61" s="1458"/>
      <c r="K61" s="1458"/>
      <c r="L61" s="1458"/>
      <c r="O61" s="1425" t="s">
        <v>408</v>
      </c>
      <c r="P61" s="1416" t="str">
        <f>K59</f>
        <v>建筑物剩余耐用年限下的土地年期修正系数Kn</v>
      </c>
      <c r="Q61" s="1417" t="e">
        <f ca="1">L59</f>
        <v>#DIV/0!</v>
      </c>
      <c r="R61" s="1417" t="s">
        <v>857</v>
      </c>
    </row>
    <row r="62" spans="1:18" s="1381" customFormat="1" ht="13.8" thickBot="1">
      <c r="A62" s="979" t="s">
        <v>784</v>
      </c>
      <c r="B62" s="946" t="s">
        <v>785</v>
      </c>
      <c r="C62" s="22">
        <f ca="1">IF(项目基本情况!B11="自然人","——",ROUND(F62*F63/10000,2))</f>
        <v>0.67</v>
      </c>
      <c r="D62" s="962" t="s">
        <v>786</v>
      </c>
      <c r="E62" s="947" t="s">
        <v>787</v>
      </c>
      <c r="F62" s="323">
        <f t="shared" si="0"/>
        <v>3</v>
      </c>
      <c r="I62" s="1459" t="s">
        <v>858</v>
      </c>
      <c r="J62" s="1460" t="s">
        <v>859</v>
      </c>
      <c r="K62" s="1460" t="s">
        <v>860</v>
      </c>
      <c r="L62" s="1460" t="s">
        <v>861</v>
      </c>
      <c r="M62" s="1461" t="s">
        <v>862</v>
      </c>
      <c r="O62" s="1415" t="s">
        <v>409</v>
      </c>
      <c r="P62" s="1416" t="s">
        <v>863</v>
      </c>
      <c r="Q62" s="1417">
        <f ca="1">Q56+Q57</f>
        <v>2731</v>
      </c>
      <c r="R62" s="1417" t="s">
        <v>410</v>
      </c>
    </row>
    <row r="63" spans="1:18" s="1381" customFormat="1" ht="13.8" thickBot="1">
      <c r="A63" s="324"/>
      <c r="B63" s="953"/>
      <c r="C63" s="26"/>
      <c r="D63" s="963"/>
      <c r="E63" s="947" t="s">
        <v>788</v>
      </c>
      <c r="F63" s="301">
        <f t="shared" ca="1" si="0"/>
        <v>2229.4899999999998</v>
      </c>
      <c r="I63" s="1459" t="s">
        <v>864</v>
      </c>
      <c r="J63" s="1460">
        <v>70</v>
      </c>
      <c r="K63" s="1460">
        <v>50</v>
      </c>
      <c r="L63" s="1460">
        <v>80</v>
      </c>
      <c r="M63" s="1462">
        <v>0.02</v>
      </c>
      <c r="O63" s="1400" t="s">
        <v>865</v>
      </c>
      <c r="P63" s="1378"/>
      <c r="Q63" s="1378"/>
      <c r="R63" s="1378"/>
    </row>
    <row r="64" spans="1:18" s="1381" customFormat="1" ht="13.8" thickBot="1">
      <c r="A64" s="979" t="s">
        <v>789</v>
      </c>
      <c r="B64" s="947" t="s">
        <v>790</v>
      </c>
      <c r="C64" s="21">
        <f ca="1">ROUND(C57*F64,2)</f>
        <v>0</v>
      </c>
      <c r="D64" s="961" t="s">
        <v>791</v>
      </c>
      <c r="E64" s="947" t="s">
        <v>783</v>
      </c>
      <c r="F64" s="326">
        <f t="shared" ca="1" si="0"/>
        <v>0</v>
      </c>
      <c r="I64" s="1459" t="s">
        <v>866</v>
      </c>
      <c r="J64" s="1460">
        <v>50</v>
      </c>
      <c r="K64" s="1460">
        <v>35</v>
      </c>
      <c r="L64" s="1460">
        <v>60</v>
      </c>
      <c r="M64" s="1461">
        <v>0</v>
      </c>
      <c r="O64" s="1408" t="s">
        <v>811</v>
      </c>
      <c r="P64" s="1409" t="s">
        <v>812</v>
      </c>
      <c r="Q64" s="1410" t="s">
        <v>813</v>
      </c>
      <c r="R64" s="1410" t="s">
        <v>814</v>
      </c>
    </row>
    <row r="65" spans="1:18" s="1381" customFormat="1" ht="13.8" thickBot="1">
      <c r="A65" s="979" t="s">
        <v>792</v>
      </c>
      <c r="B65" s="947" t="s">
        <v>742</v>
      </c>
      <c r="C65" s="21">
        <f ca="1">ROUND(C56*F65,2)</f>
        <v>0.18</v>
      </c>
      <c r="D65" s="961" t="s">
        <v>743</v>
      </c>
      <c r="E65" s="947" t="s">
        <v>744</v>
      </c>
      <c r="F65" s="328">
        <f t="shared" ca="1" si="0"/>
        <v>1E-3</v>
      </c>
      <c r="I65" s="1459" t="s">
        <v>867</v>
      </c>
      <c r="J65" s="1460">
        <v>40</v>
      </c>
      <c r="K65" s="1460">
        <v>30</v>
      </c>
      <c r="L65" s="1460">
        <v>50</v>
      </c>
      <c r="M65" s="1462">
        <v>0.02</v>
      </c>
      <c r="O65" s="1415" t="s">
        <v>403</v>
      </c>
      <c r="P65" s="1416" t="s">
        <v>868</v>
      </c>
      <c r="Q65" s="1417">
        <f ca="1">C40+J29</f>
        <v>2731</v>
      </c>
      <c r="R65" s="1417" t="s">
        <v>818</v>
      </c>
    </row>
    <row r="66" spans="1:18" s="1381" customFormat="1" ht="16.2" thickBot="1">
      <c r="A66" s="979" t="s">
        <v>793</v>
      </c>
      <c r="B66" s="947" t="s">
        <v>728</v>
      </c>
      <c r="C66" s="21">
        <f ca="1">ROUND(C48*F66,2)</f>
        <v>0</v>
      </c>
      <c r="D66" s="961" t="s">
        <v>794</v>
      </c>
      <c r="E66" s="947" t="s">
        <v>712</v>
      </c>
      <c r="F66" s="310">
        <f t="shared" ca="1" si="0"/>
        <v>5.0000000000000001E-3</v>
      </c>
      <c r="O66" s="1415" t="s">
        <v>404</v>
      </c>
      <c r="P66" s="1416" t="s">
        <v>846</v>
      </c>
      <c r="Q66" s="1417">
        <f ca="1">L60</f>
        <v>0</v>
      </c>
      <c r="R66" s="1417" t="s">
        <v>869</v>
      </c>
    </row>
    <row r="67" spans="1:18" s="1381" customFormat="1" ht="24.6" thickBot="1">
      <c r="A67" s="954" t="s">
        <v>394</v>
      </c>
      <c r="B67" s="964" t="s">
        <v>752</v>
      </c>
      <c r="C67" s="314">
        <f ca="1">C48-C58</f>
        <v>-1</v>
      </c>
      <c r="D67" s="960" t="s">
        <v>753</v>
      </c>
      <c r="E67" s="965"/>
      <c r="F67" s="966"/>
      <c r="O67" s="1425" t="s">
        <v>405</v>
      </c>
      <c r="P67" s="1416" t="s">
        <v>850</v>
      </c>
      <c r="Q67" s="1463">
        <f ca="1">L51</f>
        <v>3092</v>
      </c>
      <c r="R67" s="1417" t="s">
        <v>870</v>
      </c>
    </row>
    <row r="68" spans="1:18" s="1381" customFormat="1" ht="16.2" thickBot="1">
      <c r="A68" s="944" t="s">
        <v>395</v>
      </c>
      <c r="B68" s="945" t="s">
        <v>774</v>
      </c>
      <c r="C68" s="299">
        <f ca="1">ROUND(C67*(1-((1+F70)/(1+F68))^F69)/(F68-F70),0)</f>
        <v>-9</v>
      </c>
      <c r="D68" s="962" t="s">
        <v>758</v>
      </c>
      <c r="E68" s="947" t="s">
        <v>759</v>
      </c>
      <c r="F68" s="310">
        <f ca="1">F40</f>
        <v>5.5E-2</v>
      </c>
      <c r="O68" s="1425" t="s">
        <v>406</v>
      </c>
      <c r="P68" s="1464" t="s">
        <v>871</v>
      </c>
      <c r="Q68" s="1417">
        <f ca="1">ROUND(Q69-Q70*Q71,0)</f>
        <v>201</v>
      </c>
      <c r="R68" s="1417" t="s">
        <v>414</v>
      </c>
    </row>
    <row r="69" spans="1:18" s="1381" customFormat="1" ht="13.8" thickBot="1">
      <c r="A69" s="948"/>
      <c r="B69" s="949"/>
      <c r="C69" s="304"/>
      <c r="D69" s="967" t="s">
        <v>762</v>
      </c>
      <c r="E69" s="947" t="s">
        <v>763</v>
      </c>
      <c r="F69" s="331">
        <f ca="1">F41</f>
        <v>13.77</v>
      </c>
      <c r="O69" s="1425" t="s">
        <v>411</v>
      </c>
      <c r="P69" s="1464" t="s">
        <v>872</v>
      </c>
      <c r="Q69" s="1417">
        <f ca="1">C39</f>
        <v>213.74</v>
      </c>
      <c r="R69" s="1417" t="s">
        <v>818</v>
      </c>
    </row>
    <row r="70" spans="1:18" s="1381" customFormat="1" ht="13.8" thickBot="1">
      <c r="A70" s="951"/>
      <c r="B70" s="952"/>
      <c r="C70" s="308"/>
      <c r="D70" s="963"/>
      <c r="E70" s="947" t="s">
        <v>766</v>
      </c>
      <c r="F70" s="1051"/>
      <c r="O70" s="1425" t="s">
        <v>412</v>
      </c>
      <c r="P70" s="1464" t="s">
        <v>873</v>
      </c>
      <c r="Q70" s="1417">
        <f ca="1">C13</f>
        <v>180</v>
      </c>
      <c r="R70" s="1417" t="s">
        <v>818</v>
      </c>
    </row>
    <row r="71" spans="1:18" s="1381" customFormat="1" ht="13.8" thickBot="1">
      <c r="A71" s="968" t="s">
        <v>396</v>
      </c>
      <c r="B71" s="969" t="s">
        <v>776</v>
      </c>
      <c r="C71" s="334">
        <f ca="1">ROUND(C68*10000/F71,0)</f>
        <v>-440</v>
      </c>
      <c r="D71" s="970" t="s">
        <v>777</v>
      </c>
      <c r="E71" s="971" t="s">
        <v>778</v>
      </c>
      <c r="F71" s="337">
        <f ca="1">F43</f>
        <v>204.38</v>
      </c>
      <c r="O71" s="1425" t="s">
        <v>413</v>
      </c>
      <c r="P71" s="1464" t="s">
        <v>874</v>
      </c>
      <c r="Q71" s="1428">
        <f ca="1">C76</f>
        <v>7.0000000000000007E-2</v>
      </c>
      <c r="R71" s="1417"/>
    </row>
    <row r="72" spans="1:18" s="1381" customFormat="1" ht="13.8" thickBot="1">
      <c r="B72" s="724"/>
      <c r="C72" s="724"/>
      <c r="O72" s="1425" t="s">
        <v>407</v>
      </c>
      <c r="P72" s="1416" t="s">
        <v>852</v>
      </c>
      <c r="Q72" s="1428">
        <f>L52</f>
        <v>0</v>
      </c>
      <c r="R72" s="1417"/>
    </row>
    <row r="73" spans="1:18" ht="16.2" thickBot="1">
      <c r="A73" s="1381"/>
      <c r="B73" s="724"/>
      <c r="C73" s="724"/>
      <c r="D73" s="1381"/>
      <c r="E73" s="1381"/>
      <c r="F73" s="1381"/>
      <c r="O73" s="1425" t="s">
        <v>408</v>
      </c>
      <c r="P73" s="1416" t="s">
        <v>855</v>
      </c>
      <c r="Q73" s="1417" t="e">
        <f ca="1">L58</f>
        <v>#DIV/0!</v>
      </c>
      <c r="R73" s="1417" t="s">
        <v>856</v>
      </c>
    </row>
    <row r="74" spans="1:18" ht="13.8" thickBot="1">
      <c r="A74" s="1381"/>
      <c r="B74" s="271" t="s">
        <v>875</v>
      </c>
      <c r="C74" s="1466"/>
      <c r="D74" s="1381"/>
      <c r="E74" s="1381"/>
      <c r="F74" s="1381"/>
      <c r="O74" s="1425" t="s">
        <v>415</v>
      </c>
      <c r="P74" s="1416" t="str">
        <f>K59</f>
        <v>建筑物剩余耐用年限下的土地年期修正系数Kn</v>
      </c>
      <c r="Q74" s="1417" t="e">
        <f ca="1">L59</f>
        <v>#DIV/0!</v>
      </c>
      <c r="R74" s="1417" t="s">
        <v>857</v>
      </c>
    </row>
    <row r="75" spans="1:18" ht="13.8" thickBot="1">
      <c r="A75" s="1381"/>
      <c r="B75" s="338" t="s">
        <v>795</v>
      </c>
      <c r="C75" s="339">
        <f ca="1">ROUND(C13*C76,0)</f>
        <v>13</v>
      </c>
      <c r="D75" s="1381"/>
      <c r="E75" s="1381"/>
      <c r="F75" s="1381"/>
      <c r="K75" s="1399"/>
      <c r="L75" s="1381"/>
      <c r="O75" s="1415" t="s">
        <v>409</v>
      </c>
      <c r="P75" s="1416" t="s">
        <v>838</v>
      </c>
      <c r="Q75" s="1417">
        <f ca="1">Q65+Q66</f>
        <v>2731</v>
      </c>
      <c r="R75" s="1417" t="s">
        <v>410</v>
      </c>
    </row>
    <row r="76" spans="1:18">
      <c r="B76" s="340" t="s">
        <v>796</v>
      </c>
      <c r="C76" s="341">
        <f ca="1">INDIRECT("'数据-取费表'!j"&amp;$G$1)</f>
        <v>7.0000000000000007E-2</v>
      </c>
      <c r="I76" s="1381"/>
      <c r="J76" s="1381"/>
      <c r="K76" s="1399"/>
      <c r="L76" s="1381"/>
    </row>
    <row r="77" spans="1:18">
      <c r="B77" s="342" t="s">
        <v>797</v>
      </c>
      <c r="C77" s="343"/>
      <c r="I77" s="1381"/>
      <c r="J77" s="1381"/>
      <c r="K77" s="1399"/>
      <c r="L77" s="1381"/>
    </row>
    <row r="78" spans="1:18">
      <c r="B78" s="268" t="s">
        <v>798</v>
      </c>
      <c r="C78" s="344"/>
    </row>
    <row r="79" spans="1:18">
      <c r="B79" s="338" t="s">
        <v>799</v>
      </c>
      <c r="C79" s="272">
        <f ca="1">1-C80</f>
        <v>0.93900000000000006</v>
      </c>
    </row>
    <row r="80" spans="1:18">
      <c r="B80" s="338" t="s">
        <v>800</v>
      </c>
      <c r="C80" s="272">
        <f ca="1">ROUND(C75/C39,3)</f>
        <v>6.0999999999999999E-2</v>
      </c>
    </row>
    <row r="81" spans="2:3">
      <c r="B81" s="268" t="s">
        <v>801</v>
      </c>
      <c r="C81" s="236"/>
    </row>
    <row r="82" spans="2:3">
      <c r="B82" s="271" t="s">
        <v>802</v>
      </c>
      <c r="C82" s="273">
        <f ca="1">1-C83</f>
        <v>0.91100000000000003</v>
      </c>
    </row>
    <row r="83" spans="2:3">
      <c r="B83" s="271" t="s">
        <v>803</v>
      </c>
      <c r="C83" s="272">
        <f ca="1">ROUND(C13/C40,3)</f>
        <v>8.8999999999999996E-2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6" sqref="J56"/>
    </sheetView>
  </sheetViews>
  <sheetFormatPr defaultColWidth="9" defaultRowHeight="13.2"/>
  <cols>
    <col min="1" max="1" width="9" style="256" customWidth="1"/>
    <col min="2" max="2" width="20.6640625" style="653" customWidth="1"/>
    <col min="3" max="3" width="11.88671875" style="653" customWidth="1"/>
    <col min="4" max="4" width="40.44140625" style="256" customWidth="1"/>
    <col min="5" max="5" width="15.77734375" style="256" customWidth="1"/>
    <col min="6" max="6" width="10.6640625" style="256" customWidth="1"/>
    <col min="7" max="7" width="4.88671875" style="256" customWidth="1"/>
    <col min="8" max="8" width="8.44140625" style="256" customWidth="1"/>
    <col min="9" max="9" width="21.21875" style="256" customWidth="1"/>
    <col min="10" max="10" width="12.21875" style="256" customWidth="1"/>
    <col min="11" max="11" width="40.109375" style="1465" customWidth="1"/>
    <col min="12" max="12" width="16.33203125" style="256" customWidth="1"/>
    <col min="13" max="13" width="13" style="256" customWidth="1"/>
    <col min="14" max="14" width="13.77734375" style="1381" customWidth="1"/>
    <col min="15" max="15" width="5.109375" style="1381" customWidth="1"/>
    <col min="16" max="16" width="25.77734375" style="1381" customWidth="1"/>
    <col min="17" max="17" width="13.77734375" style="1381" customWidth="1"/>
    <col min="18" max="18" width="20.44140625" style="1381" customWidth="1"/>
    <col min="19" max="19" width="13.21875" style="1381" customWidth="1"/>
    <col min="20" max="37" width="9" style="1381"/>
    <col min="38" max="16384" width="9" style="256"/>
  </cols>
  <sheetData>
    <row r="1" spans="1:37" s="291" customFormat="1" ht="21.6">
      <c r="A1" s="1372" t="s">
        <v>877</v>
      </c>
      <c r="B1" s="711"/>
      <c r="C1" s="1376" t="s">
        <v>3380</v>
      </c>
      <c r="D1" s="1359" t="s">
        <v>43</v>
      </c>
      <c r="E1" s="1360" t="s">
        <v>678</v>
      </c>
      <c r="F1" s="1059">
        <f ca="1">J53</f>
        <v>19.350000000000001</v>
      </c>
      <c r="G1" s="1375">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24">
        <f ca="1">ROUND(D2/10000,4)</f>
        <v>2730.721</v>
      </c>
      <c r="C2" s="1384" t="s">
        <v>879</v>
      </c>
      <c r="D2" s="1468">
        <f ca="1">C40+J29+L46</f>
        <v>27307210</v>
      </c>
      <c r="E2" s="1385" t="s">
        <v>880</v>
      </c>
      <c r="F2" s="1386"/>
      <c r="G2" s="2703"/>
      <c r="H2" s="2692"/>
      <c r="I2" s="2692"/>
      <c r="J2" s="2692"/>
      <c r="K2" s="2693"/>
      <c r="L2" s="2692"/>
      <c r="M2" s="2692"/>
    </row>
    <row r="3" spans="1:37" ht="18" customHeight="1" thickBot="1">
      <c r="A3" s="1387" t="s">
        <v>881</v>
      </c>
      <c r="B3" s="1388">
        <f ca="1">IF(ISERROR(D2/F43),0,ROUND(D2/F43,0))</f>
        <v>133610</v>
      </c>
      <c r="C3" s="1384" t="s">
        <v>882</v>
      </c>
      <c r="D3" s="1384"/>
      <c r="E3" s="1385"/>
      <c r="F3" s="1386"/>
      <c r="G3" s="2703"/>
      <c r="H3" s="681" t="s">
        <v>876</v>
      </c>
      <c r="I3" s="1379"/>
      <c r="J3" s="1379"/>
      <c r="K3" s="1380"/>
      <c r="L3" s="1379"/>
      <c r="M3" s="1379"/>
    </row>
    <row r="4" spans="1:37" ht="18" customHeight="1">
      <c r="A4" s="293" t="s">
        <v>883</v>
      </c>
      <c r="B4" s="294" t="s">
        <v>884</v>
      </c>
      <c r="C4" s="294" t="s">
        <v>885</v>
      </c>
      <c r="D4" s="294" t="s">
        <v>886</v>
      </c>
      <c r="E4" s="295" t="s">
        <v>887</v>
      </c>
      <c r="F4" s="296"/>
      <c r="G4" s="1381"/>
      <c r="H4" s="293" t="s">
        <v>883</v>
      </c>
      <c r="I4" s="294" t="s">
        <v>884</v>
      </c>
      <c r="J4" s="294" t="s">
        <v>885</v>
      </c>
      <c r="K4" s="294" t="s">
        <v>886</v>
      </c>
      <c r="L4" s="295" t="s">
        <v>887</v>
      </c>
      <c r="M4" s="296"/>
    </row>
    <row r="5" spans="1:37" ht="18" customHeight="1">
      <c r="A5" s="297">
        <v>1</v>
      </c>
      <c r="B5" s="298" t="s">
        <v>888</v>
      </c>
      <c r="C5" s="1067">
        <f ca="1">C6+C10+C12</f>
        <v>2150000</v>
      </c>
      <c r="D5" s="1361" t="s">
        <v>889</v>
      </c>
      <c r="E5" s="1068"/>
      <c r="F5" s="1069"/>
      <c r="G5" s="1381"/>
      <c r="H5" s="297">
        <v>1</v>
      </c>
      <c r="I5" s="298" t="s">
        <v>888</v>
      </c>
      <c r="J5" s="1067">
        <f ca="1">J6+J10+J12</f>
        <v>3150000</v>
      </c>
      <c r="K5" s="1361" t="s">
        <v>889</v>
      </c>
      <c r="L5" s="1068"/>
      <c r="M5" s="1069"/>
    </row>
    <row r="6" spans="1:37" ht="18" customHeight="1">
      <c r="A6" s="1066" t="s">
        <v>398</v>
      </c>
      <c r="B6" s="3667" t="s">
        <v>694</v>
      </c>
      <c r="C6" s="1071">
        <f ca="1">ROUND(F6*F8*F7*(1-F9),0)</f>
        <v>2000000</v>
      </c>
      <c r="D6" s="153" t="s">
        <v>2106</v>
      </c>
      <c r="E6" s="300" t="s">
        <v>696</v>
      </c>
      <c r="F6" s="301">
        <f ca="1">INDIRECT("'数据-取费表'!u"&amp;$G$1)</f>
        <v>2000000</v>
      </c>
      <c r="G6" s="1381"/>
      <c r="H6" s="1066" t="s">
        <v>398</v>
      </c>
      <c r="I6" s="3667" t="s">
        <v>694</v>
      </c>
      <c r="J6" s="299">
        <f ca="1">ROUND(M6*M8*M7*(1-M9),0)</f>
        <v>3000000</v>
      </c>
      <c r="K6" s="1373" t="s">
        <v>2107</v>
      </c>
      <c r="L6" s="300" t="s">
        <v>696</v>
      </c>
      <c r="M6" s="301">
        <f ca="1">INDIRECT("'数据-取费表'!z"&amp;$G$1)</f>
        <v>3000000</v>
      </c>
    </row>
    <row r="7" spans="1:37" ht="18" customHeight="1">
      <c r="A7" s="1070"/>
      <c r="B7" s="3668"/>
      <c r="C7" s="1072"/>
      <c r="D7" s="305"/>
      <c r="E7" s="1073" t="s">
        <v>697</v>
      </c>
      <c r="F7" s="301">
        <f ca="1">IF(INDIRECT("'数据-取费表'!ah"&amp;$G$1)="",INDIRECT("'数据-取费表'!k"&amp;$G$1),INDIRECT("'数据-取费表'!ah"&amp;$G$1))</f>
        <v>1</v>
      </c>
      <c r="G7" s="1381"/>
      <c r="H7" s="302"/>
      <c r="I7" s="3668"/>
      <c r="J7" s="304"/>
      <c r="K7" s="305"/>
      <c r="L7" s="300" t="s">
        <v>697</v>
      </c>
      <c r="M7" s="301">
        <f ca="1">F7</f>
        <v>1</v>
      </c>
    </row>
    <row r="8" spans="1:37" ht="18" customHeight="1">
      <c r="A8" s="302"/>
      <c r="B8" s="3668"/>
      <c r="C8" s="304"/>
      <c r="D8" s="305"/>
      <c r="E8" s="300" t="s">
        <v>698</v>
      </c>
      <c r="F8" s="301">
        <f ca="1">INDIRECT("'数据-取费表'!ai"&amp;$G$1)</f>
        <v>1</v>
      </c>
      <c r="G8" s="1381"/>
      <c r="H8" s="302"/>
      <c r="I8" s="3668"/>
      <c r="J8" s="304"/>
      <c r="K8" s="305"/>
      <c r="L8" s="300" t="s">
        <v>698</v>
      </c>
      <c r="M8" s="301">
        <f ca="1">INDIRECT("'数据-取费表'!ai"&amp;$G$1)</f>
        <v>1</v>
      </c>
    </row>
    <row r="9" spans="1:37" ht="18" customHeight="1">
      <c r="A9" s="302"/>
      <c r="B9" s="3669"/>
      <c r="C9" s="304"/>
      <c r="D9" s="305"/>
      <c r="E9" s="300" t="s">
        <v>699</v>
      </c>
      <c r="F9" s="310">
        <f ca="1">INDIRECT("'数据-取费表'!w"&amp;$G$1)</f>
        <v>0</v>
      </c>
      <c r="G9" s="1381"/>
      <c r="H9" s="302"/>
      <c r="I9" s="3669"/>
      <c r="J9" s="304"/>
      <c r="K9" s="305"/>
      <c r="L9" s="311" t="s">
        <v>699</v>
      </c>
      <c r="M9" s="312">
        <f ca="1">INDIRECT("'数据-取费表'!ab"&amp;$G$1)</f>
        <v>0</v>
      </c>
    </row>
    <row r="10" spans="1:37" ht="18" customHeight="1">
      <c r="A10" s="1066" t="s">
        <v>402</v>
      </c>
      <c r="B10" s="1362" t="s">
        <v>700</v>
      </c>
      <c r="C10" s="314">
        <f>ROUND(IF(F10="押一",C6/12*F11,IF(F10="押二",C6/12*2*F11,IF(F10="押三",C6/12*3*F11,C11*F11))),0)</f>
        <v>150000</v>
      </c>
      <c r="D10" s="1363" t="s">
        <v>2116</v>
      </c>
      <c r="E10" s="311" t="s">
        <v>701</v>
      </c>
      <c r="F10" s="1113" t="s">
        <v>3400</v>
      </c>
      <c r="G10" s="1381"/>
      <c r="H10" s="1066" t="s">
        <v>402</v>
      </c>
      <c r="I10" s="1362" t="s">
        <v>700</v>
      </c>
      <c r="J10" s="299">
        <f>ROUND(IF(M10="押一",J6/12*M11,IF(M10="押二",J6/12*2*M11,IF(M10="押三",J6/12*3*M11,J11*M11))),0)</f>
        <v>150000</v>
      </c>
      <c r="K10" s="1374" t="s">
        <v>2118</v>
      </c>
      <c r="L10" s="311" t="s">
        <v>701</v>
      </c>
      <c r="M10" s="1113" t="s">
        <v>3400</v>
      </c>
    </row>
    <row r="11" spans="1:37" ht="18" customHeight="1">
      <c r="A11" s="306"/>
      <c r="B11" s="1364" t="s">
        <v>890</v>
      </c>
      <c r="C11" s="956">
        <v>5000000</v>
      </c>
      <c r="D11" s="305"/>
      <c r="E11" s="311" t="s">
        <v>702</v>
      </c>
      <c r="F11" s="3447">
        <v>0.03</v>
      </c>
      <c r="G11" s="1381"/>
      <c r="H11" s="1074"/>
      <c r="I11" s="1364" t="s">
        <v>891</v>
      </c>
      <c r="J11" s="956">
        <f>C11</f>
        <v>5000000</v>
      </c>
      <c r="K11" s="682"/>
      <c r="L11" s="311" t="s">
        <v>702</v>
      </c>
      <c r="M11" s="3448">
        <f>F11</f>
        <v>0.03</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8">
        <f ca="1">ROUND(C29*F13,0)</f>
        <v>1807656</v>
      </c>
      <c r="D13" s="1078" t="s">
        <v>705</v>
      </c>
      <c r="E13" s="1078" t="s">
        <v>706</v>
      </c>
      <c r="F13" s="1079">
        <f ca="1">INDIRECT("'数据-取费表'!y"&amp;$G$1)</f>
        <v>0.66</v>
      </c>
      <c r="G13" s="1381"/>
      <c r="H13" s="1076">
        <v>2</v>
      </c>
      <c r="I13" s="1077" t="s">
        <v>704</v>
      </c>
      <c r="J13" s="1065">
        <f ca="1">ROUND(J14*J15,0)</f>
        <v>1643324</v>
      </c>
      <c r="K13" s="1084" t="s">
        <v>705</v>
      </c>
      <c r="L13" s="1389"/>
      <c r="M13" s="1390"/>
    </row>
    <row r="14" spans="1:37" ht="18" customHeight="1">
      <c r="A14" s="979" t="s">
        <v>397</v>
      </c>
      <c r="B14" s="300" t="s">
        <v>707</v>
      </c>
      <c r="C14" s="316">
        <f ca="1">ROUND(INDIRECT("'数据-取费表'!l"&amp;$G$1)*F43+'数据-取费表'!L14*INDIRECT("'数据-取费表'!S"&amp;$G$1),0)</f>
        <v>2043800</v>
      </c>
      <c r="D14" s="1342" t="s">
        <v>708</v>
      </c>
      <c r="E14" s="1339"/>
      <c r="F14" s="317"/>
      <c r="G14" s="1381"/>
      <c r="H14" s="979" t="s">
        <v>398</v>
      </c>
      <c r="I14" s="300" t="s">
        <v>709</v>
      </c>
      <c r="J14" s="21">
        <f ca="1">C29</f>
        <v>2738873</v>
      </c>
      <c r="K14" s="12"/>
      <c r="L14" s="805"/>
      <c r="M14" s="806"/>
    </row>
    <row r="15" spans="1:37" s="1394" customFormat="1" ht="18" customHeight="1" thickBot="1">
      <c r="A15" s="979" t="s">
        <v>399</v>
      </c>
      <c r="B15" s="300" t="s">
        <v>710</v>
      </c>
      <c r="C15" s="21">
        <f ca="1">ROUND(C14*F15,0)</f>
        <v>61314</v>
      </c>
      <c r="D15" s="318" t="s">
        <v>711</v>
      </c>
      <c r="E15" s="318" t="s">
        <v>712</v>
      </c>
      <c r="F15" s="319">
        <f>'数据-取费表'!B33</f>
        <v>0.03</v>
      </c>
      <c r="G15" s="1393"/>
      <c r="H15" s="1086" t="s">
        <v>402</v>
      </c>
      <c r="I15" s="1087" t="s">
        <v>706</v>
      </c>
      <c r="J15" s="1096">
        <f ca="1">INDIRECT("'数据-取费表'!ad"&amp;$G$1)</f>
        <v>0.6</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0" t="s">
        <v>713</v>
      </c>
      <c r="C16" s="21">
        <f ca="1">ROUND(INDIRECT("'数据-取费表'!l"&amp;$G$1)*F43*F16,0)</f>
        <v>0</v>
      </c>
      <c r="D16" s="300" t="s">
        <v>711</v>
      </c>
      <c r="E16" s="300" t="s">
        <v>712</v>
      </c>
      <c r="F16" s="320">
        <f ca="1">IF(INDIRECT("'数据-取费表'!c"&amp;$G$1)="住宅",'数据-取费表'!B34,0)</f>
        <v>0</v>
      </c>
      <c r="G16" s="1381"/>
      <c r="H16" s="1076" t="s">
        <v>393</v>
      </c>
      <c r="I16" s="1077" t="s">
        <v>714</v>
      </c>
      <c r="J16" s="308">
        <f ca="1">ROUND(J17+J22+J23+J24,0)</f>
        <v>17393</v>
      </c>
      <c r="K16" s="1084" t="s">
        <v>715</v>
      </c>
      <c r="L16" s="1085"/>
      <c r="M16" s="1069"/>
    </row>
    <row r="17" spans="1:37" s="1394" customFormat="1" ht="18" customHeight="1">
      <c r="A17" s="979" t="s">
        <v>681</v>
      </c>
      <c r="B17" s="300" t="s">
        <v>716</v>
      </c>
      <c r="C17" s="21">
        <f ca="1">ROUND(F17*(F43+INDIRECT("'数据-取费表'!S"&amp;$G$1)),0)</f>
        <v>30657</v>
      </c>
      <c r="D17" s="300" t="s">
        <v>717</v>
      </c>
      <c r="E17" s="300" t="s">
        <v>718</v>
      </c>
      <c r="F17" s="23">
        <f>'数据-取费表'!B35</f>
        <v>150</v>
      </c>
      <c r="G17" s="1393"/>
      <c r="H17" s="979" t="s">
        <v>398</v>
      </c>
      <c r="I17" s="300" t="s">
        <v>719</v>
      </c>
      <c r="J17" s="2313">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0" t="s">
        <v>722</v>
      </c>
      <c r="C18" s="21">
        <f ca="1">ROUND(C14*F18,0)</f>
        <v>30657</v>
      </c>
      <c r="D18" s="300" t="s">
        <v>711</v>
      </c>
      <c r="E18" s="300" t="s">
        <v>712</v>
      </c>
      <c r="F18" s="320">
        <f>'数据-取费表'!B36</f>
        <v>1.4999999999999999E-2</v>
      </c>
      <c r="G18" s="1393"/>
      <c r="H18" s="979" t="s">
        <v>397</v>
      </c>
      <c r="I18" s="300" t="s">
        <v>723</v>
      </c>
      <c r="J18" s="21">
        <f ca="1">ROUND(J6*M18/(1+'数据-取费表'!C42),0)</f>
        <v>160000</v>
      </c>
      <c r="K18" s="1341" t="s">
        <v>724</v>
      </c>
      <c r="L18" s="300" t="s">
        <v>712</v>
      </c>
      <c r="M18" s="320">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0" t="s">
        <v>725</v>
      </c>
      <c r="C19" s="21">
        <f ca="1">SUM(C14:C18)</f>
        <v>2166428</v>
      </c>
      <c r="D19" s="129" t="s">
        <v>726</v>
      </c>
      <c r="E19" s="1357"/>
      <c r="F19" s="23"/>
      <c r="G19" s="1381"/>
      <c r="H19" s="979" t="s">
        <v>399</v>
      </c>
      <c r="I19" s="300" t="s">
        <v>727</v>
      </c>
      <c r="J19" s="21">
        <f ca="1">IF(K19="按租金收入计税",ROUND(J6*M19/(1+'数据-取费表'!C42),0),ROUND(C29*M19*0.7,0))</f>
        <v>342857</v>
      </c>
      <c r="K19" s="1367" t="s">
        <v>3344</v>
      </c>
      <c r="L19" s="300" t="s">
        <v>712</v>
      </c>
      <c r="M19" s="320">
        <f>IF(K19="按租金收入计税",'数据-取费表'!B51,'数据-取费表'!B50)</f>
        <v>0.12</v>
      </c>
    </row>
    <row r="20" spans="1:37" s="1394" customFormat="1" ht="18" customHeight="1">
      <c r="A20" s="979" t="s">
        <v>402</v>
      </c>
      <c r="B20" s="300" t="s">
        <v>728</v>
      </c>
      <c r="C20" s="21">
        <f ca="1">ROUND(C19*F20,0)</f>
        <v>64993</v>
      </c>
      <c r="D20" s="321" t="s">
        <v>729</v>
      </c>
      <c r="E20" s="300" t="s">
        <v>712</v>
      </c>
      <c r="F20" s="320">
        <f>'数据-取费表'!B37</f>
        <v>0.03</v>
      </c>
      <c r="G20" s="1393"/>
      <c r="H20" s="979" t="s">
        <v>680</v>
      </c>
      <c r="I20" s="153" t="s">
        <v>730</v>
      </c>
      <c r="J20" s="22">
        <f ca="1">ROUND(M20*M21,0)</f>
        <v>6688</v>
      </c>
      <c r="K20" s="322" t="s">
        <v>731</v>
      </c>
      <c r="L20" s="300" t="s">
        <v>732</v>
      </c>
      <c r="M20" s="323">
        <f>'数据-取费表'!B52</f>
        <v>3</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0" t="s">
        <v>733</v>
      </c>
      <c r="C21" s="21" t="s">
        <v>0</v>
      </c>
      <c r="D21" s="321" t="s">
        <v>734</v>
      </c>
      <c r="E21" s="300" t="s">
        <v>735</v>
      </c>
      <c r="F21" s="320">
        <f>'数据-取费表'!B38</f>
        <v>0.03</v>
      </c>
      <c r="G21" s="1393"/>
      <c r="H21" s="324"/>
      <c r="I21" s="309"/>
      <c r="J21" s="26"/>
      <c r="K21" s="325"/>
      <c r="L21" s="300" t="s">
        <v>736</v>
      </c>
      <c r="M21" s="301">
        <f ca="1">INDIRECT("'数据-取费表'!r"&amp;$G$1)</f>
        <v>2229.4899999999998</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0" t="s">
        <v>737</v>
      </c>
      <c r="C22" s="21"/>
      <c r="D22" s="129" t="str">
        <f>IF(F23&lt;=1,"单利计息。","复利计息。")&amp;"建造成本、管理费用、销售费用产生的利息。"</f>
        <v>单利计息。建造成本、管理费用、销售费用产生的利息。</v>
      </c>
      <c r="E22" s="1357"/>
      <c r="F22" s="23"/>
      <c r="G22" s="1381"/>
      <c r="H22" s="979" t="s">
        <v>402</v>
      </c>
      <c r="I22" s="300" t="s">
        <v>738</v>
      </c>
      <c r="J22" s="21">
        <f ca="1">ROUND(J14*M22,0)</f>
        <v>0</v>
      </c>
      <c r="K22" s="1341" t="s">
        <v>739</v>
      </c>
      <c r="L22" s="300" t="s">
        <v>712</v>
      </c>
      <c r="M22" s="326">
        <f ca="1">INDIRECT("'数据-取费表'!Ak"&amp;$G$1)</f>
        <v>0</v>
      </c>
    </row>
    <row r="23" spans="1:37" s="1394" customFormat="1" ht="18" customHeight="1">
      <c r="A23" s="979" t="s">
        <v>397</v>
      </c>
      <c r="B23" s="300" t="s">
        <v>740</v>
      </c>
      <c r="C23" s="21">
        <f ca="1">IF('数据-取费表'!B22&lt;=1,ROUND(C19*F24*F23/2,0)+ROUND(C20*F24*F23/2,0),ROUND(C19*(POWER((1+F24),F23/2)-1),0)+ROUND(C20*(POWER((1+F24),F23/2)-1),0))</f>
        <v>46302</v>
      </c>
      <c r="D23" s="327" t="str">
        <f>IF(F23&lt;=1,"(建造成本+管理费用)×利率×(建设周期÷2)","(建造成本+管理费用)×((1+利率)^(建设周期÷2)-1)")</f>
        <v>(建造成本+管理费用)×利率×(建设周期÷2)</v>
      </c>
      <c r="E23" s="300" t="s">
        <v>741</v>
      </c>
      <c r="F23" s="323">
        <f>'数据-取费表'!B20</f>
        <v>1</v>
      </c>
      <c r="G23" s="1393"/>
      <c r="H23" s="979" t="s">
        <v>437</v>
      </c>
      <c r="I23" s="300" t="s">
        <v>742</v>
      </c>
      <c r="J23" s="21">
        <f ca="1">ROUND(J13*M23,0)</f>
        <v>1643</v>
      </c>
      <c r="K23" s="1341" t="s">
        <v>743</v>
      </c>
      <c r="L23" s="300" t="s">
        <v>744</v>
      </c>
      <c r="M23" s="328">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0" t="s">
        <v>746</v>
      </c>
      <c r="C24" s="21">
        <f ca="1">ROUND(IF('数据-取费表'!B22&lt;=1,F21*F24*F23/2,F21*(POWER((1+F24),F23/2)-1)),4)</f>
        <v>5.9999999999999995E-4</v>
      </c>
      <c r="D24" s="327" t="str">
        <f>IF(F23&lt;=1,"销售费用×利率×(建设周期÷2)","销售费用×((1+利率)^(建设周期÷2)-1)")</f>
        <v>销售费用×利率×(建设周期÷2)</v>
      </c>
      <c r="E24" s="300" t="s">
        <v>747</v>
      </c>
      <c r="F24" s="329">
        <f ca="1">'数据-取费表'!B40</f>
        <v>4.1499999999999995E-2</v>
      </c>
      <c r="G24" s="1393"/>
      <c r="H24" s="1086" t="s">
        <v>684</v>
      </c>
      <c r="I24" s="1087" t="s">
        <v>728</v>
      </c>
      <c r="J24" s="1088">
        <f ca="1">ROUND(J5*M24,0)</f>
        <v>15750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0" t="s">
        <v>750</v>
      </c>
      <c r="C25" s="21"/>
      <c r="D25" s="129" t="s">
        <v>751</v>
      </c>
      <c r="E25" s="1357"/>
      <c r="F25" s="23"/>
      <c r="G25" s="1381"/>
      <c r="H25" s="1076" t="s">
        <v>394</v>
      </c>
      <c r="I25" s="1091" t="s">
        <v>752</v>
      </c>
      <c r="J25" s="308">
        <f ca="1">J5-J16</f>
        <v>3132607</v>
      </c>
      <c r="K25" s="1092" t="s">
        <v>753</v>
      </c>
      <c r="L25" s="1093"/>
      <c r="M25" s="1094"/>
    </row>
    <row r="26" spans="1:37" ht="18" customHeight="1">
      <c r="A26" s="979" t="s">
        <v>397</v>
      </c>
      <c r="B26" s="300" t="s">
        <v>754</v>
      </c>
      <c r="C26" s="21">
        <f ca="1">ROUND((C19+C20)*F26,0)</f>
        <v>223142</v>
      </c>
      <c r="D26" s="321" t="s">
        <v>755</v>
      </c>
      <c r="E26" s="311" t="s">
        <v>756</v>
      </c>
      <c r="F26" s="310">
        <f ca="1">INDIRECT("'数据-取费表'!q"&amp;$G$1)</f>
        <v>0.1</v>
      </c>
      <c r="G26" s="1381"/>
      <c r="H26" s="297" t="s">
        <v>395</v>
      </c>
      <c r="I26" s="298" t="s">
        <v>757</v>
      </c>
      <c r="J26" s="299">
        <f ca="1">IF(J5&lt;&gt;0,ROUND(J25*(1-((1+M28)/(1+M26))^M27)/(M26-M28),0),0)</f>
        <v>14709625</v>
      </c>
      <c r="K26" s="322" t="s">
        <v>758</v>
      </c>
      <c r="L26" s="300" t="s">
        <v>759</v>
      </c>
      <c r="M26" s="310">
        <f ca="1">INDIRECT("'数据-取费表'!I"&amp;$G$1)</f>
        <v>5.5E-2</v>
      </c>
    </row>
    <row r="27" spans="1:37" ht="18" customHeight="1">
      <c r="A27" s="979" t="s">
        <v>399</v>
      </c>
      <c r="B27" s="300" t="s">
        <v>760</v>
      </c>
      <c r="C27" s="21">
        <f ca="1">ROUND(F21*F26,4)</f>
        <v>3.0000000000000001E-3</v>
      </c>
      <c r="D27" s="321" t="s">
        <v>761</v>
      </c>
      <c r="E27" s="318"/>
      <c r="F27" s="319"/>
      <c r="G27" s="1381"/>
      <c r="H27" s="302"/>
      <c r="I27" s="303"/>
      <c r="J27" s="304"/>
      <c r="K27" s="330" t="s">
        <v>762</v>
      </c>
      <c r="L27" s="300" t="s">
        <v>763</v>
      </c>
      <c r="M27" s="331">
        <f ca="1">INDIRECT("'数据-取费表'!ag"&amp;$G$1)</f>
        <v>5.5800000000000018</v>
      </c>
    </row>
    <row r="28" spans="1:37" s="1394" customFormat="1" ht="18" customHeight="1">
      <c r="A28" s="979" t="s">
        <v>400</v>
      </c>
      <c r="B28" s="300" t="s">
        <v>764</v>
      </c>
      <c r="C28" s="21">
        <f>ROUND(F28/(1+'数据-取费表'!C42),4)</f>
        <v>5.33E-2</v>
      </c>
      <c r="D28" s="321" t="s">
        <v>765</v>
      </c>
      <c r="E28" s="300" t="s">
        <v>712</v>
      </c>
      <c r="F28" s="320">
        <f>'数据-取费表'!B41</f>
        <v>5.6000000000000001E-2</v>
      </c>
      <c r="G28" s="1393"/>
      <c r="H28" s="306"/>
      <c r="I28" s="307"/>
      <c r="J28" s="308"/>
      <c r="K28" s="325"/>
      <c r="L28" s="300" t="s">
        <v>766</v>
      </c>
      <c r="M28" s="310">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2738873</v>
      </c>
      <c r="D29" s="1089"/>
      <c r="E29" s="1087"/>
      <c r="F29" s="1090"/>
      <c r="G29" s="1393"/>
      <c r="H29" s="332" t="s">
        <v>396</v>
      </c>
      <c r="I29" s="333" t="s">
        <v>768</v>
      </c>
      <c r="J29" s="334">
        <f ca="1">ROUND(J26/(1+F40)^F41,0)</f>
        <v>7037449</v>
      </c>
      <c r="K29" s="335" t="s">
        <v>769</v>
      </c>
      <c r="L29" s="336"/>
      <c r="M29" s="337">
        <f ca="1">INDIRECT("'数据-取费表'!k"&amp;$G$1)</f>
        <v>204.38</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8">
        <f ca="1">ROUND(C31+C36+C37+C38,0)</f>
        <v>12558</v>
      </c>
      <c r="D30" s="1084" t="s">
        <v>715</v>
      </c>
      <c r="E30" s="1085"/>
      <c r="F30" s="1069"/>
      <c r="G30" s="1381"/>
      <c r="H30" s="2694"/>
      <c r="I30" s="1395"/>
      <c r="J30" s="1396"/>
      <c r="K30" s="2472"/>
      <c r="L30" s="2695"/>
      <c r="M30" s="2696"/>
    </row>
    <row r="31" spans="1:37" ht="18" customHeight="1">
      <c r="A31" s="979" t="s">
        <v>398</v>
      </c>
      <c r="B31" s="300" t="s">
        <v>719</v>
      </c>
      <c r="C31" s="2313">
        <v>0</v>
      </c>
      <c r="D31" s="1342" t="s">
        <v>720</v>
      </c>
      <c r="E31" s="1341" t="s">
        <v>770</v>
      </c>
      <c r="F31" s="2312" t="str">
        <f>IF(项目基本情况!B11="企业","——",IF(M47="住宅",IF(F6*F7*F8/12/(1+'数据-取费表'!F30)&gt;100000,4%,2.5%),IF(F6*F7*F8/12/(1+'数据-取费表'!F30)&gt;100000,12%,7%)))</f>
        <v>——</v>
      </c>
      <c r="G31" s="1381"/>
      <c r="H31" s="2805" t="s">
        <v>2310</v>
      </c>
      <c r="I31" s="1395"/>
      <c r="J31" s="1396"/>
      <c r="K31" s="2472"/>
      <c r="L31" s="2695"/>
      <c r="M31" s="2696"/>
    </row>
    <row r="32" spans="1:37" ht="18" customHeight="1">
      <c r="A32" s="979" t="s">
        <v>397</v>
      </c>
      <c r="B32" s="300" t="s">
        <v>723</v>
      </c>
      <c r="C32" s="21">
        <f ca="1">IF(项目基本情况!B11="自然人","——",ROUND(C6*F32/(1+'数据-取费表'!C42),0))</f>
        <v>106667</v>
      </c>
      <c r="D32" s="1341" t="s">
        <v>724</v>
      </c>
      <c r="E32" s="300" t="s">
        <v>712</v>
      </c>
      <c r="F32" s="329">
        <f>'数据-取费表'!B41</f>
        <v>5.6000000000000001E-2</v>
      </c>
      <c r="G32" s="1381"/>
      <c r="H32" s="2694"/>
      <c r="I32" s="1395"/>
      <c r="J32" s="1396"/>
      <c r="K32" s="2472"/>
      <c r="L32" s="2695"/>
      <c r="M32" s="2696"/>
    </row>
    <row r="33" spans="1:18" ht="18" customHeight="1">
      <c r="A33" s="979" t="s">
        <v>399</v>
      </c>
      <c r="B33" s="300" t="s">
        <v>727</v>
      </c>
      <c r="C33" s="21">
        <f ca="1">IF(项目基本情况!B11="自然人","——",IF(D33="按租金收入计税",ROUND(C6*F33/(1+'数据-取费表'!C42),0),IF(D33="按房产原值计税",ROUND(C29*F33*0.7,0),INDIRECT("'数据-取费表'!Aj"&amp;$G$1))))</f>
        <v>228571</v>
      </c>
      <c r="D33" s="1367" t="s">
        <v>3344</v>
      </c>
      <c r="E33" s="300" t="s">
        <v>712</v>
      </c>
      <c r="F33" s="320">
        <f>IF(D33="按票据","——",IF(D33="按租金收入计税",'数据-取费表'!B51,'数据-取费表'!B50))</f>
        <v>0.12</v>
      </c>
      <c r="G33" s="1381"/>
      <c r="H33" s="2697"/>
      <c r="I33" s="1395"/>
      <c r="J33" s="1396"/>
      <c r="K33" s="2698"/>
      <c r="L33" s="2697"/>
      <c r="M33" s="2697"/>
    </row>
    <row r="34" spans="1:18" ht="18" customHeight="1">
      <c r="A34" s="1066" t="s">
        <v>680</v>
      </c>
      <c r="B34" s="153" t="s">
        <v>730</v>
      </c>
      <c r="C34" s="22">
        <f ca="1">IF(项目基本情况!B11="自然人","——",ROUND(F34*F35,0))</f>
        <v>6688</v>
      </c>
      <c r="D34" s="322" t="s">
        <v>731</v>
      </c>
      <c r="E34" s="300" t="s">
        <v>732</v>
      </c>
      <c r="F34" s="323">
        <f>'数据-取费表'!B52</f>
        <v>3</v>
      </c>
      <c r="G34" s="1381"/>
      <c r="H34" s="2694"/>
      <c r="I34" s="1395"/>
      <c r="J34" s="1396"/>
      <c r="K34" s="2699"/>
      <c r="L34" s="2700"/>
      <c r="M34" s="2700"/>
    </row>
    <row r="35" spans="1:18" ht="18" customHeight="1">
      <c r="A35" s="1100"/>
      <c r="B35" s="1098"/>
      <c r="C35" s="26"/>
      <c r="D35" s="325"/>
      <c r="E35" s="300" t="s">
        <v>736</v>
      </c>
      <c r="F35" s="301">
        <f ca="1">INDIRECT("'数据-取费表'!r"&amp;$G$1)</f>
        <v>2229.4899999999998</v>
      </c>
      <c r="G35" s="1381"/>
      <c r="H35" s="2694"/>
      <c r="I35" s="1395"/>
      <c r="J35" s="1396"/>
      <c r="K35" s="2698"/>
      <c r="L35" s="2697"/>
      <c r="M35" s="2697"/>
    </row>
    <row r="36" spans="1:18" ht="18" customHeight="1">
      <c r="A36" s="1099" t="s">
        <v>402</v>
      </c>
      <c r="B36" s="300" t="s">
        <v>738</v>
      </c>
      <c r="C36" s="21">
        <f ca="1">ROUND(C29*F36,0)</f>
        <v>0</v>
      </c>
      <c r="D36" s="1341" t="s">
        <v>771</v>
      </c>
      <c r="E36" s="300" t="s">
        <v>712</v>
      </c>
      <c r="F36" s="326">
        <f ca="1">INDIRECT("'数据-取费表'!Ak"&amp;$G$1)</f>
        <v>0</v>
      </c>
      <c r="G36" s="1381"/>
      <c r="H36" s="2697"/>
      <c r="I36" s="1395"/>
      <c r="J36" s="1396"/>
      <c r="K36" s="2541"/>
      <c r="L36" s="2697"/>
      <c r="M36" s="2697"/>
    </row>
    <row r="37" spans="1:18" ht="18" customHeight="1">
      <c r="A37" s="979" t="s">
        <v>437</v>
      </c>
      <c r="B37" s="300" t="s">
        <v>742</v>
      </c>
      <c r="C37" s="21">
        <f ca="1">ROUND(C13*F37,0)</f>
        <v>1808</v>
      </c>
      <c r="D37" s="1341" t="s">
        <v>743</v>
      </c>
      <c r="E37" s="300" t="s">
        <v>744</v>
      </c>
      <c r="F37" s="328">
        <f ca="1">INDIRECT("'数据-取费表'!Al"&amp;$G$1)</f>
        <v>1E-3</v>
      </c>
      <c r="G37" s="1381"/>
      <c r="H37" s="2697"/>
      <c r="I37" s="1395"/>
      <c r="J37" s="1396"/>
      <c r="K37" s="2541"/>
      <c r="L37" s="2697"/>
      <c r="M37" s="2697"/>
    </row>
    <row r="38" spans="1:18" ht="18" customHeight="1" thickBot="1">
      <c r="A38" s="1086" t="s">
        <v>684</v>
      </c>
      <c r="B38" s="1087" t="s">
        <v>728</v>
      </c>
      <c r="C38" s="1088">
        <f ca="1">ROUND(C5*F38,0)</f>
        <v>10750</v>
      </c>
      <c r="D38" s="1089" t="s">
        <v>748</v>
      </c>
      <c r="E38" s="1087" t="s">
        <v>744</v>
      </c>
      <c r="F38" s="1083">
        <f ca="1">INDIRECT("'数据-取费表'!Am"&amp;$G$1)</f>
        <v>5.0000000000000001E-3</v>
      </c>
      <c r="G38" s="1381"/>
      <c r="H38" s="2697"/>
      <c r="I38" s="1395"/>
      <c r="J38" s="1396"/>
      <c r="K38" s="2701"/>
      <c r="L38" s="2697"/>
      <c r="M38" s="2697"/>
    </row>
    <row r="39" spans="1:18" ht="24.6" customHeight="1" thickTop="1">
      <c r="A39" s="1076" t="s">
        <v>394</v>
      </c>
      <c r="B39" s="1091" t="s">
        <v>772</v>
      </c>
      <c r="C39" s="308">
        <f ca="1">C5-C30</f>
        <v>2137442</v>
      </c>
      <c r="D39" s="1092" t="s">
        <v>773</v>
      </c>
      <c r="E39" s="1093"/>
      <c r="F39" s="1094"/>
      <c r="G39" s="1381"/>
      <c r="H39" s="2697"/>
      <c r="I39" s="1395"/>
      <c r="J39" s="1396"/>
      <c r="K39" s="2701"/>
      <c r="L39" s="2697"/>
      <c r="M39" s="2697"/>
    </row>
    <row r="40" spans="1:18" ht="18" customHeight="1">
      <c r="A40" s="297" t="s">
        <v>395</v>
      </c>
      <c r="B40" s="298" t="s">
        <v>774</v>
      </c>
      <c r="C40" s="299">
        <f ca="1">ROUND(C39*(1-((1+F42)/(1+F40))^F41)/(F40-F42),0)</f>
        <v>20269761</v>
      </c>
      <c r="D40" s="322" t="s">
        <v>758</v>
      </c>
      <c r="E40" s="300" t="s">
        <v>759</v>
      </c>
      <c r="F40" s="310">
        <f ca="1">INDIRECT("'数据-取费表'!I"&amp;$G$1)</f>
        <v>5.5E-2</v>
      </c>
      <c r="G40" s="1381"/>
      <c r="H40" s="1458"/>
      <c r="I40" s="1395"/>
      <c r="J40" s="1396"/>
      <c r="K40" s="2701"/>
      <c r="L40" s="1458"/>
      <c r="M40" s="1458"/>
    </row>
    <row r="41" spans="1:18" ht="18" customHeight="1">
      <c r="A41" s="302"/>
      <c r="B41" s="303"/>
      <c r="C41" s="304"/>
      <c r="D41" s="330" t="s">
        <v>775</v>
      </c>
      <c r="E41" s="300" t="s">
        <v>763</v>
      </c>
      <c r="F41" s="331">
        <f ca="1">IF(INDIRECT("'数据-取费表'!af"&amp;$G$1)=0,INDIRECT("'数据-取费表'!ae"&amp;$G$1),INDIRECT("'数据-取费表'!af"&amp;$G$1))</f>
        <v>13.77</v>
      </c>
      <c r="G41" s="1381"/>
      <c r="H41" s="1188"/>
      <c r="I41" s="1395"/>
      <c r="J41" s="1396"/>
      <c r="K41" s="2541"/>
      <c r="L41" s="1188"/>
      <c r="M41" s="1188"/>
    </row>
    <row r="42" spans="1:18" ht="18" customHeight="1">
      <c r="A42" s="306"/>
      <c r="B42" s="307"/>
      <c r="C42" s="308"/>
      <c r="D42" s="325"/>
      <c r="E42" s="300" t="s">
        <v>766</v>
      </c>
      <c r="F42" s="310">
        <f ca="1">INDIRECT("'数据-取费表'!v"&amp;$G$1)</f>
        <v>0</v>
      </c>
      <c r="G42" s="1381"/>
      <c r="H42" s="1188"/>
      <c r="I42" s="1395"/>
      <c r="J42" s="1396"/>
      <c r="K42" s="2541"/>
      <c r="L42" s="1188"/>
      <c r="M42" s="1188"/>
    </row>
    <row r="43" spans="1:18" ht="18" customHeight="1" thickBot="1">
      <c r="A43" s="332" t="s">
        <v>396</v>
      </c>
      <c r="B43" s="333" t="s">
        <v>776</v>
      </c>
      <c r="C43" s="334">
        <f ca="1">ROUND(C40/F43,0)</f>
        <v>99177</v>
      </c>
      <c r="D43" s="335" t="s">
        <v>777</v>
      </c>
      <c r="E43" s="336" t="s">
        <v>778</v>
      </c>
      <c r="F43" s="337">
        <f ca="1">INDIRECT("'数据-取费表'!k"&amp;$G$1)</f>
        <v>204.38</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30" t="s">
        <v>3360</v>
      </c>
      <c r="B45" s="1397"/>
      <c r="C45" s="1469">
        <f ca="1">ROUND((C68-C40)/10000,4)</f>
        <v>-2035.0329999999999</v>
      </c>
      <c r="D45" s="3431" t="s">
        <v>3361</v>
      </c>
      <c r="E45" s="1397"/>
      <c r="F45" s="1397"/>
      <c r="O45" s="1400" t="s">
        <v>808</v>
      </c>
      <c r="P45" s="1458"/>
      <c r="Q45" s="1458"/>
      <c r="R45" s="1458"/>
    </row>
    <row r="46" spans="1:18" s="1381" customFormat="1" ht="13.8" thickBot="1">
      <c r="A46" s="1401" t="s">
        <v>809</v>
      </c>
      <c r="C46" s="1402">
        <f ca="1">ROUND(C45,0)</f>
        <v>-2035</v>
      </c>
      <c r="D46" s="1403" t="str">
        <f>C2</f>
        <v>万元</v>
      </c>
      <c r="I46" s="1404" t="s">
        <v>810</v>
      </c>
      <c r="J46" s="1405"/>
      <c r="K46" s="1406"/>
      <c r="L46" s="1407" t="str">
        <f ca="1">IF(M47="住宅",0,IF(L48&gt;J51,L60,J60))</f>
        <v>0</v>
      </c>
      <c r="O46" s="1408" t="s">
        <v>811</v>
      </c>
      <c r="P46" s="1409" t="s">
        <v>812</v>
      </c>
      <c r="Q46" s="1410" t="s">
        <v>813</v>
      </c>
      <c r="R46" s="1410" t="s">
        <v>814</v>
      </c>
    </row>
    <row r="47" spans="1:18" s="1381" customFormat="1" ht="13.8" thickBot="1">
      <c r="A47" s="943" t="s">
        <v>687</v>
      </c>
      <c r="B47" s="975" t="s">
        <v>688</v>
      </c>
      <c r="C47" s="975" t="s">
        <v>689</v>
      </c>
      <c r="D47" s="975" t="s">
        <v>690</v>
      </c>
      <c r="E47" s="1055" t="s">
        <v>691</v>
      </c>
      <c r="F47" s="1056"/>
      <c r="G47" s="720"/>
      <c r="I47" s="1411" t="s">
        <v>815</v>
      </c>
      <c r="J47" s="1412" t="s">
        <v>3407</v>
      </c>
      <c r="K47" s="1413" t="s">
        <v>816</v>
      </c>
      <c r="L47" s="1414">
        <f ca="1">INDIRECT("'数据-取费表'!d"&amp;$G$1)</f>
        <v>40</v>
      </c>
      <c r="M47" s="1377" t="str">
        <f>IF(ISNUMBER(FIND("住宅",C1)),"住宅","非住宅")</f>
        <v>非住宅</v>
      </c>
      <c r="O47" s="1415" t="s">
        <v>403</v>
      </c>
      <c r="P47" s="1416" t="s">
        <v>817</v>
      </c>
      <c r="Q47" s="1417">
        <f ca="1">C40+J29</f>
        <v>27307210</v>
      </c>
      <c r="R47" s="1417" t="s">
        <v>818</v>
      </c>
    </row>
    <row r="48" spans="1:18" s="1381" customFormat="1" ht="40.200000000000003" thickBot="1">
      <c r="A48" s="1107" t="s">
        <v>438</v>
      </c>
      <c r="B48" s="298" t="s">
        <v>692</v>
      </c>
      <c r="C48" s="1356">
        <f ca="1">C49+C53+C55</f>
        <v>0</v>
      </c>
      <c r="D48" s="1109"/>
      <c r="E48" s="1110"/>
      <c r="F48" s="959"/>
      <c r="G48" s="720"/>
      <c r="H48" s="721"/>
      <c r="I48" s="1418" t="s">
        <v>819</v>
      </c>
      <c r="J48" s="1419" t="s">
        <v>3402</v>
      </c>
      <c r="K48" s="1420" t="s">
        <v>820</v>
      </c>
      <c r="L48" s="1421">
        <f ca="1">INDIRECT("'数据-取费表'!f"&amp;$G$1)</f>
        <v>19.350000000000001</v>
      </c>
      <c r="O48" s="1415" t="s">
        <v>404</v>
      </c>
      <c r="P48" s="1416" t="s">
        <v>821</v>
      </c>
      <c r="Q48" s="1417" t="str">
        <f ca="1">J60</f>
        <v>0</v>
      </c>
      <c r="R48" s="1417" t="s">
        <v>822</v>
      </c>
    </row>
    <row r="49" spans="1:18" s="1381" customFormat="1" ht="13.8" thickBot="1">
      <c r="A49" s="972" t="s">
        <v>439</v>
      </c>
      <c r="B49" s="1368" t="s">
        <v>779</v>
      </c>
      <c r="C49" s="1111">
        <f ca="1">ROUND(F49*F51*F50*(1-F52),0)</f>
        <v>0</v>
      </c>
      <c r="D49" s="1052" t="s">
        <v>695</v>
      </c>
      <c r="E49" s="1369" t="s">
        <v>780</v>
      </c>
      <c r="F49" s="1057"/>
      <c r="G49" s="1422"/>
      <c r="H49" s="721"/>
      <c r="I49" s="1418" t="s">
        <v>823</v>
      </c>
      <c r="J49" s="1423">
        <v>2002</v>
      </c>
      <c r="K49" s="1420" t="s">
        <v>824</v>
      </c>
      <c r="L49" s="1424"/>
      <c r="O49" s="1425" t="s">
        <v>405</v>
      </c>
      <c r="P49" s="1416" t="s">
        <v>825</v>
      </c>
      <c r="Q49" s="1417">
        <f ca="1">C29</f>
        <v>2738873</v>
      </c>
      <c r="R49" s="1417" t="s">
        <v>818</v>
      </c>
    </row>
    <row r="50" spans="1:18" s="1381" customFormat="1" ht="13.8" thickBot="1">
      <c r="A50" s="973"/>
      <c r="B50" s="976"/>
      <c r="C50" s="977"/>
      <c r="D50" s="950"/>
      <c r="E50" s="1053" t="s">
        <v>697</v>
      </c>
      <c r="F50" s="1054">
        <f ca="1">F7</f>
        <v>1</v>
      </c>
      <c r="H50" s="721"/>
      <c r="I50" s="1418" t="s">
        <v>826</v>
      </c>
      <c r="J50" s="1426">
        <f>SUMPRODUCT((I63:I65=J47)*(J62:L62=J48)*(J63:L65))</f>
        <v>60</v>
      </c>
      <c r="K50" s="1420" t="s">
        <v>827</v>
      </c>
      <c r="L50" s="1424"/>
      <c r="M50" s="1427"/>
      <c r="O50" s="1425" t="s">
        <v>406</v>
      </c>
      <c r="P50" s="1416" t="s">
        <v>828</v>
      </c>
      <c r="Q50" s="1428" t="e">
        <f ca="1">J58</f>
        <v>#VALUE!</v>
      </c>
      <c r="R50" s="1417"/>
    </row>
    <row r="51" spans="1:18" s="1381" customFormat="1" ht="13.8" thickBot="1">
      <c r="A51" s="974"/>
      <c r="B51" s="976"/>
      <c r="C51" s="977"/>
      <c r="D51" s="950"/>
      <c r="E51" s="978" t="s">
        <v>698</v>
      </c>
      <c r="F51" s="301">
        <f ca="1">F8</f>
        <v>1</v>
      </c>
      <c r="I51" s="1429" t="s">
        <v>829</v>
      </c>
      <c r="J51" s="1430">
        <f>IF(J49="",J50,J49+J50-YEAR('数据-取费表'!B2))</f>
        <v>40</v>
      </c>
      <c r="K51" s="1431" t="s">
        <v>830</v>
      </c>
      <c r="L51" s="1432">
        <f ca="1">ROUND(-PV(INDIRECT("'数据-取费表'!h"&amp;$G$1),J51,(C39-C13*C76),0),0)</f>
        <v>34505311</v>
      </c>
      <c r="M51" s="1433"/>
      <c r="O51" s="1425" t="s">
        <v>407</v>
      </c>
      <c r="P51" s="1416" t="s">
        <v>831</v>
      </c>
      <c r="Q51" s="1428">
        <f>J52</f>
        <v>7.4999999999999997E-2</v>
      </c>
      <c r="R51" s="1417"/>
    </row>
    <row r="52" spans="1:18" s="1381" customFormat="1" ht="13.8" thickBot="1">
      <c r="A52" s="974"/>
      <c r="B52" s="976"/>
      <c r="C52" s="977"/>
      <c r="D52" s="950"/>
      <c r="E52" s="978" t="s">
        <v>699</v>
      </c>
      <c r="F52" s="1051"/>
      <c r="I52" s="1434" t="s">
        <v>832</v>
      </c>
      <c r="J52" s="1435">
        <v>7.4999999999999997E-2</v>
      </c>
      <c r="K52" s="1434" t="s">
        <v>833</v>
      </c>
      <c r="L52" s="1435"/>
      <c r="O52" s="1425" t="s">
        <v>408</v>
      </c>
      <c r="P52" s="1416" t="s">
        <v>834</v>
      </c>
      <c r="Q52" s="1417">
        <f ca="1">J53</f>
        <v>19.350000000000001</v>
      </c>
      <c r="R52" s="1417" t="s">
        <v>835</v>
      </c>
    </row>
    <row r="53" spans="1:18" s="1381" customFormat="1" ht="30.75" customHeight="1" thickBot="1">
      <c r="A53" s="1108" t="s">
        <v>440</v>
      </c>
      <c r="B53" s="321" t="s">
        <v>700</v>
      </c>
      <c r="C53" s="314">
        <f>ROUND(IF(F53="押一",C49/12*F11,IF(F53="押二",C49/12*2*F11,IF(F53="押三",C49/12*3*F11,C54*F11))),0)</f>
        <v>0</v>
      </c>
      <c r="D53" s="1363" t="s">
        <v>2119</v>
      </c>
      <c r="E53" s="311" t="s">
        <v>701</v>
      </c>
      <c r="F53" s="1113"/>
      <c r="I53" s="1436" t="s">
        <v>836</v>
      </c>
      <c r="J53" s="2165">
        <f ca="1">IF(M47="住宅",IF(D1="——",MAX(J51,L48),MAX(J51,L48-'数据-取费表'!B24)),IF(D1="——",MIN(J51,L48),MIN(J51,L48-'数据-取费表'!B24)))</f>
        <v>19.350000000000001</v>
      </c>
      <c r="K53" s="3665" t="s">
        <v>837</v>
      </c>
      <c r="L53" s="3666"/>
      <c r="O53" s="1415" t="s">
        <v>409</v>
      </c>
      <c r="P53" s="1416" t="s">
        <v>838</v>
      </c>
      <c r="Q53" s="1417">
        <f ca="1">Q47+Q48</f>
        <v>27307210</v>
      </c>
      <c r="R53" s="1417" t="s">
        <v>410</v>
      </c>
    </row>
    <row r="54" spans="1:18" s="1381" customFormat="1" ht="13.8"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8" thickBot="1">
      <c r="A55" s="1080" t="s">
        <v>437</v>
      </c>
      <c r="B55" s="1366" t="s">
        <v>703</v>
      </c>
      <c r="C55" s="1081"/>
      <c r="D55" s="1363"/>
      <c r="E55" s="1371"/>
      <c r="F55" s="1437"/>
      <c r="I55" s="1440" t="s">
        <v>840</v>
      </c>
      <c r="J55" s="1441" t="e">
        <f ca="1">ROUND(IF(J47="钢混",J57/J50,1-(1-2%)*(J50-J57)/J50),3)</f>
        <v>#VALUE!</v>
      </c>
      <c r="K55" s="1442" t="s">
        <v>841</v>
      </c>
      <c r="L55" s="1443"/>
      <c r="O55" s="1408" t="s">
        <v>811</v>
      </c>
      <c r="P55" s="1409" t="s">
        <v>812</v>
      </c>
      <c r="Q55" s="1410" t="s">
        <v>813</v>
      </c>
      <c r="R55" s="1410" t="s">
        <v>814</v>
      </c>
    </row>
    <row r="56" spans="1:18" s="1381" customFormat="1" ht="36" customHeight="1" thickTop="1" thickBot="1">
      <c r="A56" s="954">
        <v>2</v>
      </c>
      <c r="B56" s="955" t="s">
        <v>704</v>
      </c>
      <c r="C56" s="230">
        <f ca="1">C13</f>
        <v>1807656</v>
      </c>
      <c r="D56" s="1444"/>
      <c r="E56" s="1445"/>
      <c r="F56" s="1437"/>
      <c r="I56" s="1446" t="s">
        <v>842</v>
      </c>
      <c r="J56" s="1447" t="s">
        <v>3378</v>
      </c>
      <c r="K56" s="1418" t="s">
        <v>843</v>
      </c>
      <c r="L56" s="1421" t="str">
        <f ca="1">IF(L48&lt;J51,"——",L48-J51)</f>
        <v>——</v>
      </c>
      <c r="O56" s="1415" t="s">
        <v>403</v>
      </c>
      <c r="P56" s="1416" t="s">
        <v>817</v>
      </c>
      <c r="Q56" s="1417">
        <f ca="1">C40+J29</f>
        <v>27307210</v>
      </c>
      <c r="R56" s="1417" t="s">
        <v>818</v>
      </c>
    </row>
    <row r="57" spans="1:18" s="1381" customFormat="1" ht="24.6" thickBot="1">
      <c r="A57" s="1448"/>
      <c r="B57" s="947" t="s">
        <v>767</v>
      </c>
      <c r="C57" s="236">
        <f ca="1">C29</f>
        <v>2738873</v>
      </c>
      <c r="D57" s="1449"/>
      <c r="E57" s="1450"/>
      <c r="F57" s="1451"/>
      <c r="I57" s="1452" t="s">
        <v>844</v>
      </c>
      <c r="J57" s="1453" t="str">
        <f ca="1">IF(OR(M47="住宅",J51&lt;L48,J56="是"),"——",J51-L48)</f>
        <v>——</v>
      </c>
      <c r="K57" s="1418" t="s">
        <v>892</v>
      </c>
      <c r="L57" s="1421" t="str">
        <f ca="1">IF(L48&lt;J51,"——",IF(L55="比较法",L49,IF(L55="基准地价",L50,L51)))</f>
        <v>——</v>
      </c>
      <c r="O57" s="1415" t="s">
        <v>404</v>
      </c>
      <c r="P57" s="1416" t="s">
        <v>893</v>
      </c>
      <c r="Q57" s="1417">
        <f ca="1">L60</f>
        <v>0</v>
      </c>
      <c r="R57" s="1417" t="s">
        <v>894</v>
      </c>
    </row>
    <row r="58" spans="1:18" s="1381" customFormat="1" ht="24.6" thickBot="1">
      <c r="A58" s="313" t="s">
        <v>393</v>
      </c>
      <c r="B58" s="955" t="s">
        <v>714</v>
      </c>
      <c r="C58" s="314">
        <f ca="1">ROUND(C59+C64+C65+C66,0)</f>
        <v>8496</v>
      </c>
      <c r="D58" s="957" t="s">
        <v>715</v>
      </c>
      <c r="E58" s="958"/>
      <c r="F58" s="959"/>
      <c r="I58" s="1452" t="s">
        <v>848</v>
      </c>
      <c r="J58" s="1454" t="e">
        <f ca="1">IF(J55&lt;0.4,0.4,J55)</f>
        <v>#VALUE!</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6" thickBot="1">
      <c r="A59" s="979" t="s">
        <v>398</v>
      </c>
      <c r="B59" s="947" t="s">
        <v>719</v>
      </c>
      <c r="C59" s="2313">
        <f ca="1">ROUND(IF(AND(项目基本情况!B11="自然人",项目基本情况!B10="北京市"),C49*F59/(1+'数据-取费表'!C42),C60+C61+C62),0)</f>
        <v>6688</v>
      </c>
      <c r="D59" s="960" t="s">
        <v>720</v>
      </c>
      <c r="E59" s="961" t="s">
        <v>721</v>
      </c>
      <c r="F59" s="2312"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2" thickBot="1">
      <c r="A60" s="979" t="s">
        <v>397</v>
      </c>
      <c r="B60" s="947" t="s">
        <v>723</v>
      </c>
      <c r="C60" s="21">
        <f ca="1">IF(项目基本情况!B11="自然人","——",ROUND(C48*F60/(1+'数据-取费表'!C42),0))</f>
        <v>0</v>
      </c>
      <c r="D60" s="961" t="s">
        <v>724</v>
      </c>
      <c r="E60" s="947" t="s">
        <v>712</v>
      </c>
      <c r="F60" s="329">
        <f t="shared" ref="F60:F66" si="0">F32</f>
        <v>5.6000000000000001E-2</v>
      </c>
      <c r="I60" s="1455" t="s">
        <v>853</v>
      </c>
      <c r="J60" s="1456" t="str">
        <f ca="1">IF(OR(M47="住宅",J51&lt;L48,J56="是"),"0",ROUND(J59/(1+J52)^J53,0))</f>
        <v>0</v>
      </c>
      <c r="K60" s="1457" t="s">
        <v>854</v>
      </c>
      <c r="L60" s="1456">
        <f ca="1">IF(OR(M47="住宅",L48&lt;J51),0,ROUND(L57*(L58/L59-1),0))</f>
        <v>0</v>
      </c>
      <c r="O60" s="1425" t="s">
        <v>407</v>
      </c>
      <c r="P60" s="1416" t="s">
        <v>855</v>
      </c>
      <c r="Q60" s="1417" t="e">
        <f ca="1">L58</f>
        <v>#DIV/0!</v>
      </c>
      <c r="R60" s="1417" t="s">
        <v>856</v>
      </c>
    </row>
    <row r="61" spans="1:18" s="1381" customFormat="1" ht="13.8" thickBot="1">
      <c r="A61" s="979" t="s">
        <v>781</v>
      </c>
      <c r="B61" s="947" t="s">
        <v>782</v>
      </c>
      <c r="C61" s="21">
        <f ca="1">IF(项目基本情况!B11="自然人","——",IF(D61="按租金收入计税",ROUND(C49*F61/(1+'数据-取费表'!C42),0),IF(D61="按房产原值计税",ROUND(C57*F61*0.7,0),INDIRECT("'数据-取费表'!Aj"&amp;$G$1))))</f>
        <v>0</v>
      </c>
      <c r="D61" s="1367" t="s">
        <v>3344</v>
      </c>
      <c r="E61" s="947" t="s">
        <v>783</v>
      </c>
      <c r="F61" s="320">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8" thickBot="1">
      <c r="A62" s="979" t="s">
        <v>784</v>
      </c>
      <c r="B62" s="946" t="s">
        <v>785</v>
      </c>
      <c r="C62" s="22">
        <f ca="1">IF(项目基本情况!B11="自然人","——",ROUND(F62*F63,0))</f>
        <v>6688</v>
      </c>
      <c r="D62" s="962" t="s">
        <v>786</v>
      </c>
      <c r="E62" s="947" t="s">
        <v>787</v>
      </c>
      <c r="F62" s="323">
        <f t="shared" si="0"/>
        <v>3</v>
      </c>
      <c r="I62" s="1459" t="s">
        <v>858</v>
      </c>
      <c r="J62" s="1460" t="s">
        <v>859</v>
      </c>
      <c r="K62" s="1460" t="s">
        <v>860</v>
      </c>
      <c r="L62" s="1460" t="s">
        <v>861</v>
      </c>
      <c r="M62" s="1461" t="s">
        <v>862</v>
      </c>
      <c r="O62" s="1415" t="s">
        <v>409</v>
      </c>
      <c r="P62" s="1416" t="s">
        <v>863</v>
      </c>
      <c r="Q62" s="1417">
        <f ca="1">Q56+Q57</f>
        <v>27307210</v>
      </c>
      <c r="R62" s="1417" t="s">
        <v>410</v>
      </c>
    </row>
    <row r="63" spans="1:18" s="1381" customFormat="1" ht="13.8" thickBot="1">
      <c r="A63" s="324"/>
      <c r="B63" s="953"/>
      <c r="C63" s="26"/>
      <c r="D63" s="963"/>
      <c r="E63" s="947" t="s">
        <v>788</v>
      </c>
      <c r="F63" s="301">
        <f t="shared" ca="1" si="0"/>
        <v>2229.4899999999998</v>
      </c>
      <c r="I63" s="1459" t="s">
        <v>864</v>
      </c>
      <c r="J63" s="1460">
        <v>70</v>
      </c>
      <c r="K63" s="1460">
        <v>50</v>
      </c>
      <c r="L63" s="1460">
        <v>80</v>
      </c>
      <c r="M63" s="1462">
        <v>0.02</v>
      </c>
      <c r="O63" s="1400" t="s">
        <v>865</v>
      </c>
      <c r="P63" s="1378"/>
      <c r="Q63" s="1378"/>
      <c r="R63" s="1378"/>
    </row>
    <row r="64" spans="1:18" s="1381" customFormat="1" ht="13.8" thickBot="1">
      <c r="A64" s="979" t="s">
        <v>789</v>
      </c>
      <c r="B64" s="947" t="s">
        <v>790</v>
      </c>
      <c r="C64" s="21">
        <f ca="1">ROUND(C57*F64,0)</f>
        <v>0</v>
      </c>
      <c r="D64" s="961" t="s">
        <v>791</v>
      </c>
      <c r="E64" s="947" t="s">
        <v>783</v>
      </c>
      <c r="F64" s="326">
        <f t="shared" ca="1" si="0"/>
        <v>0</v>
      </c>
      <c r="I64" s="1459" t="s">
        <v>866</v>
      </c>
      <c r="J64" s="1460">
        <v>50</v>
      </c>
      <c r="K64" s="1460">
        <v>35</v>
      </c>
      <c r="L64" s="1460">
        <v>60</v>
      </c>
      <c r="M64" s="1461">
        <v>0</v>
      </c>
      <c r="O64" s="1408" t="s">
        <v>811</v>
      </c>
      <c r="P64" s="1409" t="s">
        <v>812</v>
      </c>
      <c r="Q64" s="1410" t="s">
        <v>813</v>
      </c>
      <c r="R64" s="1410" t="s">
        <v>814</v>
      </c>
    </row>
    <row r="65" spans="1:18" s="1381" customFormat="1" ht="13.8" thickBot="1">
      <c r="A65" s="979" t="s">
        <v>792</v>
      </c>
      <c r="B65" s="947" t="s">
        <v>742</v>
      </c>
      <c r="C65" s="21">
        <f ca="1">ROUND(C56*F65,0)</f>
        <v>1808</v>
      </c>
      <c r="D65" s="961" t="s">
        <v>743</v>
      </c>
      <c r="E65" s="947" t="s">
        <v>744</v>
      </c>
      <c r="F65" s="328">
        <f t="shared" ca="1" si="0"/>
        <v>1E-3</v>
      </c>
      <c r="I65" s="1459" t="s">
        <v>867</v>
      </c>
      <c r="J65" s="1460">
        <v>40</v>
      </c>
      <c r="K65" s="1460">
        <v>30</v>
      </c>
      <c r="L65" s="1460">
        <v>50</v>
      </c>
      <c r="M65" s="1462">
        <v>0.02</v>
      </c>
      <c r="O65" s="1415" t="s">
        <v>403</v>
      </c>
      <c r="P65" s="1416" t="s">
        <v>868</v>
      </c>
      <c r="Q65" s="1417">
        <f ca="1">C40+J29</f>
        <v>27307210</v>
      </c>
      <c r="R65" s="1417" t="s">
        <v>818</v>
      </c>
    </row>
    <row r="66" spans="1:18" s="1381" customFormat="1" ht="16.2" thickBot="1">
      <c r="A66" s="979" t="s">
        <v>793</v>
      </c>
      <c r="B66" s="947" t="s">
        <v>728</v>
      </c>
      <c r="C66" s="21">
        <f ca="1">ROUND(C48*F66,0)</f>
        <v>0</v>
      </c>
      <c r="D66" s="961" t="s">
        <v>794</v>
      </c>
      <c r="E66" s="947" t="s">
        <v>712</v>
      </c>
      <c r="F66" s="310">
        <f t="shared" ca="1" si="0"/>
        <v>5.0000000000000001E-3</v>
      </c>
      <c r="O66" s="1415" t="s">
        <v>404</v>
      </c>
      <c r="P66" s="1416" t="s">
        <v>846</v>
      </c>
      <c r="Q66" s="1417">
        <f ca="1">L60</f>
        <v>0</v>
      </c>
      <c r="R66" s="1417" t="s">
        <v>869</v>
      </c>
    </row>
    <row r="67" spans="1:18" s="1381" customFormat="1" ht="24.6" thickBot="1">
      <c r="A67" s="954" t="s">
        <v>394</v>
      </c>
      <c r="B67" s="964" t="s">
        <v>752</v>
      </c>
      <c r="C67" s="314">
        <f ca="1">C48-C58</f>
        <v>-8496</v>
      </c>
      <c r="D67" s="960" t="s">
        <v>753</v>
      </c>
      <c r="E67" s="965"/>
      <c r="F67" s="966"/>
      <c r="O67" s="1425" t="s">
        <v>405</v>
      </c>
      <c r="P67" s="1416" t="s">
        <v>850</v>
      </c>
      <c r="Q67" s="1463">
        <f ca="1">L51</f>
        <v>34505311</v>
      </c>
      <c r="R67" s="1417" t="s">
        <v>870</v>
      </c>
    </row>
    <row r="68" spans="1:18" s="1381" customFormat="1" ht="16.2" thickBot="1">
      <c r="A68" s="944" t="s">
        <v>395</v>
      </c>
      <c r="B68" s="945" t="s">
        <v>774</v>
      </c>
      <c r="C68" s="299">
        <f ca="1">ROUND(C67*(1-((1+F70)/(1+F68))^F69)/(F68-F70),0)</f>
        <v>-80569</v>
      </c>
      <c r="D68" s="962" t="s">
        <v>758</v>
      </c>
      <c r="E68" s="947" t="s">
        <v>759</v>
      </c>
      <c r="F68" s="310">
        <f ca="1">F40</f>
        <v>5.5E-2</v>
      </c>
      <c r="O68" s="1425" t="s">
        <v>406</v>
      </c>
      <c r="P68" s="1464" t="s">
        <v>871</v>
      </c>
      <c r="Q68" s="1417">
        <f ca="1">ROUND(Q69-Q70*Q71,0)</f>
        <v>2010906</v>
      </c>
      <c r="R68" s="1417" t="s">
        <v>414</v>
      </c>
    </row>
    <row r="69" spans="1:18" s="1381" customFormat="1" ht="13.8" thickBot="1">
      <c r="A69" s="948"/>
      <c r="B69" s="949"/>
      <c r="C69" s="304"/>
      <c r="D69" s="967" t="s">
        <v>762</v>
      </c>
      <c r="E69" s="947" t="s">
        <v>763</v>
      </c>
      <c r="F69" s="331">
        <f ca="1">F41</f>
        <v>13.77</v>
      </c>
      <c r="O69" s="1425" t="s">
        <v>411</v>
      </c>
      <c r="P69" s="1464" t="s">
        <v>872</v>
      </c>
      <c r="Q69" s="1417">
        <f ca="1">C39</f>
        <v>2137442</v>
      </c>
      <c r="R69" s="1417" t="s">
        <v>818</v>
      </c>
    </row>
    <row r="70" spans="1:18" s="1381" customFormat="1" ht="13.8" thickBot="1">
      <c r="A70" s="951"/>
      <c r="B70" s="952"/>
      <c r="C70" s="308"/>
      <c r="D70" s="963"/>
      <c r="E70" s="947" t="s">
        <v>766</v>
      </c>
      <c r="F70" s="1051"/>
      <c r="O70" s="1425" t="s">
        <v>412</v>
      </c>
      <c r="P70" s="1464" t="s">
        <v>873</v>
      </c>
      <c r="Q70" s="1417">
        <f ca="1">C13</f>
        <v>1807656</v>
      </c>
      <c r="R70" s="1417" t="s">
        <v>818</v>
      </c>
    </row>
    <row r="71" spans="1:18" s="1381" customFormat="1" ht="13.8" thickBot="1">
      <c r="A71" s="968" t="s">
        <v>396</v>
      </c>
      <c r="B71" s="969" t="s">
        <v>776</v>
      </c>
      <c r="C71" s="334">
        <f ca="1">ROUND(C68/F71,0)</f>
        <v>-394</v>
      </c>
      <c r="D71" s="970" t="s">
        <v>777</v>
      </c>
      <c r="E71" s="971" t="s">
        <v>778</v>
      </c>
      <c r="F71" s="337">
        <f ca="1">F43</f>
        <v>204.38</v>
      </c>
      <c r="O71" s="1425" t="s">
        <v>413</v>
      </c>
      <c r="P71" s="1464" t="s">
        <v>874</v>
      </c>
      <c r="Q71" s="1428">
        <f ca="1">C76</f>
        <v>7.0000000000000007E-2</v>
      </c>
      <c r="R71" s="1417"/>
    </row>
    <row r="72" spans="1:18" s="1381" customFormat="1" ht="13.8" thickBot="1">
      <c r="B72" s="724"/>
      <c r="C72" s="724"/>
      <c r="O72" s="1425" t="s">
        <v>407</v>
      </c>
      <c r="P72" s="1416" t="s">
        <v>852</v>
      </c>
      <c r="Q72" s="1428">
        <f>L52</f>
        <v>0</v>
      </c>
      <c r="R72" s="1417"/>
    </row>
    <row r="73" spans="1:18" ht="16.2" thickBot="1">
      <c r="A73" s="1381"/>
      <c r="B73" s="724"/>
      <c r="C73" s="724"/>
      <c r="D73" s="1381"/>
      <c r="E73" s="1381"/>
      <c r="F73" s="1381"/>
      <c r="O73" s="1425" t="s">
        <v>408</v>
      </c>
      <c r="P73" s="1416" t="s">
        <v>855</v>
      </c>
      <c r="Q73" s="1417" t="e">
        <f ca="1">L58</f>
        <v>#DIV/0!</v>
      </c>
      <c r="R73" s="1417" t="s">
        <v>856</v>
      </c>
    </row>
    <row r="74" spans="1:18" ht="13.8" thickBot="1">
      <c r="A74" s="1381"/>
      <c r="B74" s="271" t="s">
        <v>875</v>
      </c>
      <c r="C74" s="1466"/>
      <c r="D74" s="1381"/>
      <c r="E74" s="1381"/>
      <c r="F74" s="1381"/>
      <c r="O74" s="1425" t="s">
        <v>415</v>
      </c>
      <c r="P74" s="1416" t="str">
        <f>K59</f>
        <v>建筑物剩余耐用年限下的土地年期修正系数Kn</v>
      </c>
      <c r="Q74" s="1417" t="e">
        <f ca="1">L59</f>
        <v>#DIV/0!</v>
      </c>
      <c r="R74" s="1417" t="s">
        <v>857</v>
      </c>
    </row>
    <row r="75" spans="1:18" ht="13.8" thickBot="1">
      <c r="A75" s="1381"/>
      <c r="B75" s="338" t="s">
        <v>795</v>
      </c>
      <c r="C75" s="339">
        <f ca="1">ROUND(C13*C76,0)</f>
        <v>126536</v>
      </c>
      <c r="D75" s="1381"/>
      <c r="E75" s="1381"/>
      <c r="F75" s="1381"/>
      <c r="K75" s="1399"/>
      <c r="L75" s="1381"/>
      <c r="O75" s="1415" t="s">
        <v>409</v>
      </c>
      <c r="P75" s="1416" t="s">
        <v>838</v>
      </c>
      <c r="Q75" s="1417">
        <f ca="1">Q65+Q66</f>
        <v>27307210</v>
      </c>
      <c r="R75" s="1417" t="s">
        <v>410</v>
      </c>
    </row>
    <row r="76" spans="1:18">
      <c r="B76" s="340" t="s">
        <v>796</v>
      </c>
      <c r="C76" s="341">
        <f ca="1">INDIRECT("'数据-取费表'!j"&amp;$G$1)</f>
        <v>7.0000000000000007E-2</v>
      </c>
      <c r="I76" s="1381"/>
      <c r="J76" s="1381"/>
      <c r="K76" s="1399"/>
      <c r="L76" s="1381"/>
    </row>
    <row r="77" spans="1:18">
      <c r="B77" s="342" t="s">
        <v>797</v>
      </c>
      <c r="C77" s="343"/>
      <c r="I77" s="1381"/>
      <c r="J77" s="1381"/>
      <c r="K77" s="1399"/>
      <c r="L77" s="1381"/>
    </row>
    <row r="78" spans="1:18">
      <c r="B78" s="268" t="s">
        <v>798</v>
      </c>
      <c r="C78" s="344"/>
    </row>
    <row r="79" spans="1:18">
      <c r="B79" s="338" t="s">
        <v>799</v>
      </c>
      <c r="C79" s="272">
        <f ca="1">1-C80</f>
        <v>0.94100000000000006</v>
      </c>
    </row>
    <row r="80" spans="1:18">
      <c r="B80" s="338" t="s">
        <v>800</v>
      </c>
      <c r="C80" s="272">
        <f ca="1">ROUND(C75/C39,3)</f>
        <v>5.8999999999999997E-2</v>
      </c>
    </row>
    <row r="81" spans="2:3">
      <c r="B81" s="268" t="s">
        <v>801</v>
      </c>
      <c r="C81" s="236"/>
    </row>
    <row r="82" spans="2:3">
      <c r="B82" s="271" t="s">
        <v>802</v>
      </c>
      <c r="C82" s="273">
        <f ca="1">1-C83</f>
        <v>0.91100000000000003</v>
      </c>
    </row>
    <row r="83" spans="2:3">
      <c r="B83" s="271" t="s">
        <v>803</v>
      </c>
      <c r="C83" s="272">
        <f ca="1">ROUND(C13/C40,3)</f>
        <v>8.8999999999999996E-2</v>
      </c>
    </row>
  </sheetData>
  <sheetProtection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39" customWidth="1"/>
    <col min="2" max="2" width="8.88671875" style="2839"/>
    <col min="3" max="5" width="12.88671875" style="2839" customWidth="1"/>
    <col min="6" max="6" width="47.44140625" style="2839" customWidth="1"/>
    <col min="7" max="7" width="13" style="2998" customWidth="1"/>
    <col min="8" max="8" width="8.88671875" style="2833"/>
    <col min="9" max="9" width="8.88671875" style="2834"/>
    <col min="10" max="10" width="5.77734375" style="2999" customWidth="1"/>
    <col min="11" max="11" width="11.77734375" style="2999" customWidth="1"/>
    <col min="12" max="13" width="10.77734375" style="2999" customWidth="1"/>
    <col min="14" max="14" width="10" style="2999" customWidth="1"/>
    <col min="15" max="16" width="10.44140625" style="2999" bestFit="1" customWidth="1"/>
    <col min="17" max="17" width="10" style="2999" customWidth="1"/>
    <col min="18" max="18" width="10.109375" style="2999" customWidth="1"/>
    <col min="19" max="19" width="10" style="2999" customWidth="1"/>
    <col min="20" max="20" width="26.109375" style="2999" customWidth="1"/>
    <col min="21" max="21" width="8.88671875" style="2999"/>
    <col min="22" max="22" width="8.88671875" style="2834"/>
    <col min="23" max="256" width="8.88671875" style="2839"/>
    <col min="257" max="257" width="9.44140625" style="2839" customWidth="1"/>
    <col min="258" max="258" width="8.88671875" style="2839"/>
    <col min="259" max="261" width="12.88671875" style="2839" customWidth="1"/>
    <col min="262" max="262" width="47.44140625" style="2839" customWidth="1"/>
    <col min="263" max="263" width="13" style="2839" customWidth="1"/>
    <col min="264" max="265" width="8.88671875" style="2839"/>
    <col min="266" max="266" width="5.77734375" style="2839" customWidth="1"/>
    <col min="267" max="267" width="11.77734375" style="2839" customWidth="1"/>
    <col min="268" max="269" width="10.77734375" style="2839" customWidth="1"/>
    <col min="270" max="270" width="10" style="2839" customWidth="1"/>
    <col min="271" max="272" width="10.44140625" style="2839" bestFit="1" customWidth="1"/>
    <col min="273" max="273" width="10" style="2839" customWidth="1"/>
    <col min="274" max="274" width="10.109375" style="2839" customWidth="1"/>
    <col min="275" max="275" width="10" style="2839" customWidth="1"/>
    <col min="276" max="276" width="26.109375" style="2839" customWidth="1"/>
    <col min="277" max="512" width="8.88671875" style="2839"/>
    <col min="513" max="513" width="9.44140625" style="2839" customWidth="1"/>
    <col min="514" max="514" width="8.88671875" style="2839"/>
    <col min="515" max="517" width="12.88671875" style="2839" customWidth="1"/>
    <col min="518" max="518" width="47.44140625" style="2839" customWidth="1"/>
    <col min="519" max="519" width="13" style="2839" customWidth="1"/>
    <col min="520" max="521" width="8.88671875" style="2839"/>
    <col min="522" max="522" width="5.77734375" style="2839" customWidth="1"/>
    <col min="523" max="523" width="11.77734375" style="2839" customWidth="1"/>
    <col min="524" max="525" width="10.77734375" style="2839" customWidth="1"/>
    <col min="526" max="526" width="10" style="2839" customWidth="1"/>
    <col min="527" max="528" width="10.44140625" style="2839" bestFit="1" customWidth="1"/>
    <col min="529" max="529" width="10" style="2839" customWidth="1"/>
    <col min="530" max="530" width="10.109375" style="2839" customWidth="1"/>
    <col min="531" max="531" width="10" style="2839" customWidth="1"/>
    <col min="532" max="532" width="26.109375" style="2839" customWidth="1"/>
    <col min="533" max="768" width="8.88671875" style="2839"/>
    <col min="769" max="769" width="9.44140625" style="2839" customWidth="1"/>
    <col min="770" max="770" width="8.88671875" style="2839"/>
    <col min="771" max="773" width="12.88671875" style="2839" customWidth="1"/>
    <col min="774" max="774" width="47.44140625" style="2839" customWidth="1"/>
    <col min="775" max="775" width="13" style="2839" customWidth="1"/>
    <col min="776" max="777" width="8.88671875" style="2839"/>
    <col min="778" max="778" width="5.77734375" style="2839" customWidth="1"/>
    <col min="779" max="779" width="11.77734375" style="2839" customWidth="1"/>
    <col min="780" max="781" width="10.77734375" style="2839" customWidth="1"/>
    <col min="782" max="782" width="10" style="2839" customWidth="1"/>
    <col min="783" max="784" width="10.44140625" style="2839" bestFit="1" customWidth="1"/>
    <col min="785" max="785" width="10" style="2839" customWidth="1"/>
    <col min="786" max="786" width="10.109375" style="2839" customWidth="1"/>
    <col min="787" max="787" width="10" style="2839" customWidth="1"/>
    <col min="788" max="788" width="26.109375" style="2839" customWidth="1"/>
    <col min="789" max="1024" width="8.88671875" style="2839"/>
    <col min="1025" max="1025" width="9.44140625" style="2839" customWidth="1"/>
    <col min="1026" max="1026" width="8.88671875" style="2839"/>
    <col min="1027" max="1029" width="12.88671875" style="2839" customWidth="1"/>
    <col min="1030" max="1030" width="47.44140625" style="2839" customWidth="1"/>
    <col min="1031" max="1031" width="13" style="2839" customWidth="1"/>
    <col min="1032" max="1033" width="8.88671875" style="2839"/>
    <col min="1034" max="1034" width="5.77734375" style="2839" customWidth="1"/>
    <col min="1035" max="1035" width="11.77734375" style="2839" customWidth="1"/>
    <col min="1036" max="1037" width="10.77734375" style="2839" customWidth="1"/>
    <col min="1038" max="1038" width="10" style="2839" customWidth="1"/>
    <col min="1039" max="1040" width="10.44140625" style="2839" bestFit="1" customWidth="1"/>
    <col min="1041" max="1041" width="10" style="2839" customWidth="1"/>
    <col min="1042" max="1042" width="10.109375" style="2839" customWidth="1"/>
    <col min="1043" max="1043" width="10" style="2839" customWidth="1"/>
    <col min="1044" max="1044" width="26.109375" style="2839" customWidth="1"/>
    <col min="1045" max="1280" width="8.88671875" style="2839"/>
    <col min="1281" max="1281" width="9.44140625" style="2839" customWidth="1"/>
    <col min="1282" max="1282" width="8.88671875" style="2839"/>
    <col min="1283" max="1285" width="12.88671875" style="2839" customWidth="1"/>
    <col min="1286" max="1286" width="47.44140625" style="2839" customWidth="1"/>
    <col min="1287" max="1287" width="13" style="2839" customWidth="1"/>
    <col min="1288" max="1289" width="8.88671875" style="2839"/>
    <col min="1290" max="1290" width="5.77734375" style="2839" customWidth="1"/>
    <col min="1291" max="1291" width="11.77734375" style="2839" customWidth="1"/>
    <col min="1292" max="1293" width="10.77734375" style="2839" customWidth="1"/>
    <col min="1294" max="1294" width="10" style="2839" customWidth="1"/>
    <col min="1295" max="1296" width="10.44140625" style="2839" bestFit="1" customWidth="1"/>
    <col min="1297" max="1297" width="10" style="2839" customWidth="1"/>
    <col min="1298" max="1298" width="10.109375" style="2839" customWidth="1"/>
    <col min="1299" max="1299" width="10" style="2839" customWidth="1"/>
    <col min="1300" max="1300" width="26.109375" style="2839" customWidth="1"/>
    <col min="1301" max="1536" width="8.88671875" style="2839"/>
    <col min="1537" max="1537" width="9.44140625" style="2839" customWidth="1"/>
    <col min="1538" max="1538" width="8.88671875" style="2839"/>
    <col min="1539" max="1541" width="12.88671875" style="2839" customWidth="1"/>
    <col min="1542" max="1542" width="47.44140625" style="2839" customWidth="1"/>
    <col min="1543" max="1543" width="13" style="2839" customWidth="1"/>
    <col min="1544" max="1545" width="8.88671875" style="2839"/>
    <col min="1546" max="1546" width="5.77734375" style="2839" customWidth="1"/>
    <col min="1547" max="1547" width="11.77734375" style="2839" customWidth="1"/>
    <col min="1548" max="1549" width="10.77734375" style="2839" customWidth="1"/>
    <col min="1550" max="1550" width="10" style="2839" customWidth="1"/>
    <col min="1551" max="1552" width="10.44140625" style="2839" bestFit="1" customWidth="1"/>
    <col min="1553" max="1553" width="10" style="2839" customWidth="1"/>
    <col min="1554" max="1554" width="10.109375" style="2839" customWidth="1"/>
    <col min="1555" max="1555" width="10" style="2839" customWidth="1"/>
    <col min="1556" max="1556" width="26.109375" style="2839" customWidth="1"/>
    <col min="1557" max="1792" width="8.88671875" style="2839"/>
    <col min="1793" max="1793" width="9.44140625" style="2839" customWidth="1"/>
    <col min="1794" max="1794" width="8.88671875" style="2839"/>
    <col min="1795" max="1797" width="12.88671875" style="2839" customWidth="1"/>
    <col min="1798" max="1798" width="47.44140625" style="2839" customWidth="1"/>
    <col min="1799" max="1799" width="13" style="2839" customWidth="1"/>
    <col min="1800" max="1801" width="8.88671875" style="2839"/>
    <col min="1802" max="1802" width="5.77734375" style="2839" customWidth="1"/>
    <col min="1803" max="1803" width="11.77734375" style="2839" customWidth="1"/>
    <col min="1804" max="1805" width="10.77734375" style="2839" customWidth="1"/>
    <col min="1806" max="1806" width="10" style="2839" customWidth="1"/>
    <col min="1807" max="1808" width="10.44140625" style="2839" bestFit="1" customWidth="1"/>
    <col min="1809" max="1809" width="10" style="2839" customWidth="1"/>
    <col min="1810" max="1810" width="10.109375" style="2839" customWidth="1"/>
    <col min="1811" max="1811" width="10" style="2839" customWidth="1"/>
    <col min="1812" max="1812" width="26.109375" style="2839" customWidth="1"/>
    <col min="1813" max="2048" width="8.88671875" style="2839"/>
    <col min="2049" max="2049" width="9.44140625" style="2839" customWidth="1"/>
    <col min="2050" max="2050" width="8.88671875" style="2839"/>
    <col min="2051" max="2053" width="12.88671875" style="2839" customWidth="1"/>
    <col min="2054" max="2054" width="47.44140625" style="2839" customWidth="1"/>
    <col min="2055" max="2055" width="13" style="2839" customWidth="1"/>
    <col min="2056" max="2057" width="8.88671875" style="2839"/>
    <col min="2058" max="2058" width="5.77734375" style="2839" customWidth="1"/>
    <col min="2059" max="2059" width="11.77734375" style="2839" customWidth="1"/>
    <col min="2060" max="2061" width="10.77734375" style="2839" customWidth="1"/>
    <col min="2062" max="2062" width="10" style="2839" customWidth="1"/>
    <col min="2063" max="2064" width="10.44140625" style="2839" bestFit="1" customWidth="1"/>
    <col min="2065" max="2065" width="10" style="2839" customWidth="1"/>
    <col min="2066" max="2066" width="10.109375" style="2839" customWidth="1"/>
    <col min="2067" max="2067" width="10" style="2839" customWidth="1"/>
    <col min="2068" max="2068" width="26.109375" style="2839" customWidth="1"/>
    <col min="2069" max="2304" width="8.88671875" style="2839"/>
    <col min="2305" max="2305" width="9.44140625" style="2839" customWidth="1"/>
    <col min="2306" max="2306" width="8.88671875" style="2839"/>
    <col min="2307" max="2309" width="12.88671875" style="2839" customWidth="1"/>
    <col min="2310" max="2310" width="47.44140625" style="2839" customWidth="1"/>
    <col min="2311" max="2311" width="13" style="2839" customWidth="1"/>
    <col min="2312" max="2313" width="8.88671875" style="2839"/>
    <col min="2314" max="2314" width="5.77734375" style="2839" customWidth="1"/>
    <col min="2315" max="2315" width="11.77734375" style="2839" customWidth="1"/>
    <col min="2316" max="2317" width="10.77734375" style="2839" customWidth="1"/>
    <col min="2318" max="2318" width="10" style="2839" customWidth="1"/>
    <col min="2319" max="2320" width="10.44140625" style="2839" bestFit="1" customWidth="1"/>
    <col min="2321" max="2321" width="10" style="2839" customWidth="1"/>
    <col min="2322" max="2322" width="10.109375" style="2839" customWidth="1"/>
    <col min="2323" max="2323" width="10" style="2839" customWidth="1"/>
    <col min="2324" max="2324" width="26.109375" style="2839" customWidth="1"/>
    <col min="2325" max="2560" width="8.88671875" style="2839"/>
    <col min="2561" max="2561" width="9.44140625" style="2839" customWidth="1"/>
    <col min="2562" max="2562" width="8.88671875" style="2839"/>
    <col min="2563" max="2565" width="12.88671875" style="2839" customWidth="1"/>
    <col min="2566" max="2566" width="47.44140625" style="2839" customWidth="1"/>
    <col min="2567" max="2567" width="13" style="2839" customWidth="1"/>
    <col min="2568" max="2569" width="8.88671875" style="2839"/>
    <col min="2570" max="2570" width="5.77734375" style="2839" customWidth="1"/>
    <col min="2571" max="2571" width="11.77734375" style="2839" customWidth="1"/>
    <col min="2572" max="2573" width="10.77734375" style="2839" customWidth="1"/>
    <col min="2574" max="2574" width="10" style="2839" customWidth="1"/>
    <col min="2575" max="2576" width="10.44140625" style="2839" bestFit="1" customWidth="1"/>
    <col min="2577" max="2577" width="10" style="2839" customWidth="1"/>
    <col min="2578" max="2578" width="10.109375" style="2839" customWidth="1"/>
    <col min="2579" max="2579" width="10" style="2839" customWidth="1"/>
    <col min="2580" max="2580" width="26.109375" style="2839" customWidth="1"/>
    <col min="2581" max="2816" width="8.88671875" style="2839"/>
    <col min="2817" max="2817" width="9.44140625" style="2839" customWidth="1"/>
    <col min="2818" max="2818" width="8.88671875" style="2839"/>
    <col min="2819" max="2821" width="12.88671875" style="2839" customWidth="1"/>
    <col min="2822" max="2822" width="47.44140625" style="2839" customWidth="1"/>
    <col min="2823" max="2823" width="13" style="2839" customWidth="1"/>
    <col min="2824" max="2825" width="8.88671875" style="2839"/>
    <col min="2826" max="2826" width="5.77734375" style="2839" customWidth="1"/>
    <col min="2827" max="2827" width="11.77734375" style="2839" customWidth="1"/>
    <col min="2828" max="2829" width="10.77734375" style="2839" customWidth="1"/>
    <col min="2830" max="2830" width="10" style="2839" customWidth="1"/>
    <col min="2831" max="2832" width="10.44140625" style="2839" bestFit="1" customWidth="1"/>
    <col min="2833" max="2833" width="10" style="2839" customWidth="1"/>
    <col min="2834" max="2834" width="10.109375" style="2839" customWidth="1"/>
    <col min="2835" max="2835" width="10" style="2839" customWidth="1"/>
    <col min="2836" max="2836" width="26.109375" style="2839" customWidth="1"/>
    <col min="2837" max="3072" width="8.88671875" style="2839"/>
    <col min="3073" max="3073" width="9.44140625" style="2839" customWidth="1"/>
    <col min="3074" max="3074" width="8.88671875" style="2839"/>
    <col min="3075" max="3077" width="12.88671875" style="2839" customWidth="1"/>
    <col min="3078" max="3078" width="47.44140625" style="2839" customWidth="1"/>
    <col min="3079" max="3079" width="13" style="2839" customWidth="1"/>
    <col min="3080" max="3081" width="8.88671875" style="2839"/>
    <col min="3082" max="3082" width="5.77734375" style="2839" customWidth="1"/>
    <col min="3083" max="3083" width="11.77734375" style="2839" customWidth="1"/>
    <col min="3084" max="3085" width="10.77734375" style="2839" customWidth="1"/>
    <col min="3086" max="3086" width="10" style="2839" customWidth="1"/>
    <col min="3087" max="3088" width="10.44140625" style="2839" bestFit="1" customWidth="1"/>
    <col min="3089" max="3089" width="10" style="2839" customWidth="1"/>
    <col min="3090" max="3090" width="10.109375" style="2839" customWidth="1"/>
    <col min="3091" max="3091" width="10" style="2839" customWidth="1"/>
    <col min="3092" max="3092" width="26.109375" style="2839" customWidth="1"/>
    <col min="3093" max="3328" width="8.88671875" style="2839"/>
    <col min="3329" max="3329" width="9.44140625" style="2839" customWidth="1"/>
    <col min="3330" max="3330" width="8.88671875" style="2839"/>
    <col min="3331" max="3333" width="12.88671875" style="2839" customWidth="1"/>
    <col min="3334" max="3334" width="47.44140625" style="2839" customWidth="1"/>
    <col min="3335" max="3335" width="13" style="2839" customWidth="1"/>
    <col min="3336" max="3337" width="8.88671875" style="2839"/>
    <col min="3338" max="3338" width="5.77734375" style="2839" customWidth="1"/>
    <col min="3339" max="3339" width="11.77734375" style="2839" customWidth="1"/>
    <col min="3340" max="3341" width="10.77734375" style="2839" customWidth="1"/>
    <col min="3342" max="3342" width="10" style="2839" customWidth="1"/>
    <col min="3343" max="3344" width="10.44140625" style="2839" bestFit="1" customWidth="1"/>
    <col min="3345" max="3345" width="10" style="2839" customWidth="1"/>
    <col min="3346" max="3346" width="10.109375" style="2839" customWidth="1"/>
    <col min="3347" max="3347" width="10" style="2839" customWidth="1"/>
    <col min="3348" max="3348" width="26.109375" style="2839" customWidth="1"/>
    <col min="3349" max="3584" width="8.88671875" style="2839"/>
    <col min="3585" max="3585" width="9.44140625" style="2839" customWidth="1"/>
    <col min="3586" max="3586" width="8.88671875" style="2839"/>
    <col min="3587" max="3589" width="12.88671875" style="2839" customWidth="1"/>
    <col min="3590" max="3590" width="47.44140625" style="2839" customWidth="1"/>
    <col min="3591" max="3591" width="13" style="2839" customWidth="1"/>
    <col min="3592" max="3593" width="8.88671875" style="2839"/>
    <col min="3594" max="3594" width="5.77734375" style="2839" customWidth="1"/>
    <col min="3595" max="3595" width="11.77734375" style="2839" customWidth="1"/>
    <col min="3596" max="3597" width="10.77734375" style="2839" customWidth="1"/>
    <col min="3598" max="3598" width="10" style="2839" customWidth="1"/>
    <col min="3599" max="3600" width="10.44140625" style="2839" bestFit="1" customWidth="1"/>
    <col min="3601" max="3601" width="10" style="2839" customWidth="1"/>
    <col min="3602" max="3602" width="10.109375" style="2839" customWidth="1"/>
    <col min="3603" max="3603" width="10" style="2839" customWidth="1"/>
    <col min="3604" max="3604" width="26.109375" style="2839" customWidth="1"/>
    <col min="3605" max="3840" width="8.88671875" style="2839"/>
    <col min="3841" max="3841" width="9.44140625" style="2839" customWidth="1"/>
    <col min="3842" max="3842" width="8.88671875" style="2839"/>
    <col min="3843" max="3845" width="12.88671875" style="2839" customWidth="1"/>
    <col min="3846" max="3846" width="47.44140625" style="2839" customWidth="1"/>
    <col min="3847" max="3847" width="13" style="2839" customWidth="1"/>
    <col min="3848" max="3849" width="8.88671875" style="2839"/>
    <col min="3850" max="3850" width="5.77734375" style="2839" customWidth="1"/>
    <col min="3851" max="3851" width="11.77734375" style="2839" customWidth="1"/>
    <col min="3852" max="3853" width="10.77734375" style="2839" customWidth="1"/>
    <col min="3854" max="3854" width="10" style="2839" customWidth="1"/>
    <col min="3855" max="3856" width="10.44140625" style="2839" bestFit="1" customWidth="1"/>
    <col min="3857" max="3857" width="10" style="2839" customWidth="1"/>
    <col min="3858" max="3858" width="10.109375" style="2839" customWidth="1"/>
    <col min="3859" max="3859" width="10" style="2839" customWidth="1"/>
    <col min="3860" max="3860" width="26.109375" style="2839" customWidth="1"/>
    <col min="3861" max="4096" width="8.88671875" style="2839"/>
    <col min="4097" max="4097" width="9.44140625" style="2839" customWidth="1"/>
    <col min="4098" max="4098" width="8.88671875" style="2839"/>
    <col min="4099" max="4101" width="12.88671875" style="2839" customWidth="1"/>
    <col min="4102" max="4102" width="47.44140625" style="2839" customWidth="1"/>
    <col min="4103" max="4103" width="13" style="2839" customWidth="1"/>
    <col min="4104" max="4105" width="8.88671875" style="2839"/>
    <col min="4106" max="4106" width="5.77734375" style="2839" customWidth="1"/>
    <col min="4107" max="4107" width="11.77734375" style="2839" customWidth="1"/>
    <col min="4108" max="4109" width="10.77734375" style="2839" customWidth="1"/>
    <col min="4110" max="4110" width="10" style="2839" customWidth="1"/>
    <col min="4111" max="4112" width="10.44140625" style="2839" bestFit="1" customWidth="1"/>
    <col min="4113" max="4113" width="10" style="2839" customWidth="1"/>
    <col min="4114" max="4114" width="10.109375" style="2839" customWidth="1"/>
    <col min="4115" max="4115" width="10" style="2839" customWidth="1"/>
    <col min="4116" max="4116" width="26.109375" style="2839" customWidth="1"/>
    <col min="4117" max="4352" width="8.88671875" style="2839"/>
    <col min="4353" max="4353" width="9.44140625" style="2839" customWidth="1"/>
    <col min="4354" max="4354" width="8.88671875" style="2839"/>
    <col min="4355" max="4357" width="12.88671875" style="2839" customWidth="1"/>
    <col min="4358" max="4358" width="47.44140625" style="2839" customWidth="1"/>
    <col min="4359" max="4359" width="13" style="2839" customWidth="1"/>
    <col min="4360" max="4361" width="8.88671875" style="2839"/>
    <col min="4362" max="4362" width="5.77734375" style="2839" customWidth="1"/>
    <col min="4363" max="4363" width="11.77734375" style="2839" customWidth="1"/>
    <col min="4364" max="4365" width="10.77734375" style="2839" customWidth="1"/>
    <col min="4366" max="4366" width="10" style="2839" customWidth="1"/>
    <col min="4367" max="4368" width="10.44140625" style="2839" bestFit="1" customWidth="1"/>
    <col min="4369" max="4369" width="10" style="2839" customWidth="1"/>
    <col min="4370" max="4370" width="10.109375" style="2839" customWidth="1"/>
    <col min="4371" max="4371" width="10" style="2839" customWidth="1"/>
    <col min="4372" max="4372" width="26.109375" style="2839" customWidth="1"/>
    <col min="4373" max="4608" width="8.88671875" style="2839"/>
    <col min="4609" max="4609" width="9.44140625" style="2839" customWidth="1"/>
    <col min="4610" max="4610" width="8.88671875" style="2839"/>
    <col min="4611" max="4613" width="12.88671875" style="2839" customWidth="1"/>
    <col min="4614" max="4614" width="47.44140625" style="2839" customWidth="1"/>
    <col min="4615" max="4615" width="13" style="2839" customWidth="1"/>
    <col min="4616" max="4617" width="8.88671875" style="2839"/>
    <col min="4618" max="4618" width="5.77734375" style="2839" customWidth="1"/>
    <col min="4619" max="4619" width="11.77734375" style="2839" customWidth="1"/>
    <col min="4620" max="4621" width="10.77734375" style="2839" customWidth="1"/>
    <col min="4622" max="4622" width="10" style="2839" customWidth="1"/>
    <col min="4623" max="4624" width="10.44140625" style="2839" bestFit="1" customWidth="1"/>
    <col min="4625" max="4625" width="10" style="2839" customWidth="1"/>
    <col min="4626" max="4626" width="10.109375" style="2839" customWidth="1"/>
    <col min="4627" max="4627" width="10" style="2839" customWidth="1"/>
    <col min="4628" max="4628" width="26.109375" style="2839" customWidth="1"/>
    <col min="4629" max="4864" width="8.88671875" style="2839"/>
    <col min="4865" max="4865" width="9.44140625" style="2839" customWidth="1"/>
    <col min="4866" max="4866" width="8.88671875" style="2839"/>
    <col min="4867" max="4869" width="12.88671875" style="2839" customWidth="1"/>
    <col min="4870" max="4870" width="47.44140625" style="2839" customWidth="1"/>
    <col min="4871" max="4871" width="13" style="2839" customWidth="1"/>
    <col min="4872" max="4873" width="8.88671875" style="2839"/>
    <col min="4874" max="4874" width="5.77734375" style="2839" customWidth="1"/>
    <col min="4875" max="4875" width="11.77734375" style="2839" customWidth="1"/>
    <col min="4876" max="4877" width="10.77734375" style="2839" customWidth="1"/>
    <col min="4878" max="4878" width="10" style="2839" customWidth="1"/>
    <col min="4879" max="4880" width="10.44140625" style="2839" bestFit="1" customWidth="1"/>
    <col min="4881" max="4881" width="10" style="2839" customWidth="1"/>
    <col min="4882" max="4882" width="10.109375" style="2839" customWidth="1"/>
    <col min="4883" max="4883" width="10" style="2839" customWidth="1"/>
    <col min="4884" max="4884" width="26.109375" style="2839" customWidth="1"/>
    <col min="4885" max="5120" width="8.88671875" style="2839"/>
    <col min="5121" max="5121" width="9.44140625" style="2839" customWidth="1"/>
    <col min="5122" max="5122" width="8.88671875" style="2839"/>
    <col min="5123" max="5125" width="12.88671875" style="2839" customWidth="1"/>
    <col min="5126" max="5126" width="47.44140625" style="2839" customWidth="1"/>
    <col min="5127" max="5127" width="13" style="2839" customWidth="1"/>
    <col min="5128" max="5129" width="8.88671875" style="2839"/>
    <col min="5130" max="5130" width="5.77734375" style="2839" customWidth="1"/>
    <col min="5131" max="5131" width="11.77734375" style="2839" customWidth="1"/>
    <col min="5132" max="5133" width="10.77734375" style="2839" customWidth="1"/>
    <col min="5134" max="5134" width="10" style="2839" customWidth="1"/>
    <col min="5135" max="5136" width="10.44140625" style="2839" bestFit="1" customWidth="1"/>
    <col min="5137" max="5137" width="10" style="2839" customWidth="1"/>
    <col min="5138" max="5138" width="10.109375" style="2839" customWidth="1"/>
    <col min="5139" max="5139" width="10" style="2839" customWidth="1"/>
    <col min="5140" max="5140" width="26.109375" style="2839" customWidth="1"/>
    <col min="5141" max="5376" width="8.88671875" style="2839"/>
    <col min="5377" max="5377" width="9.44140625" style="2839" customWidth="1"/>
    <col min="5378" max="5378" width="8.88671875" style="2839"/>
    <col min="5379" max="5381" width="12.88671875" style="2839" customWidth="1"/>
    <col min="5382" max="5382" width="47.44140625" style="2839" customWidth="1"/>
    <col min="5383" max="5383" width="13" style="2839" customWidth="1"/>
    <col min="5384" max="5385" width="8.88671875" style="2839"/>
    <col min="5386" max="5386" width="5.77734375" style="2839" customWidth="1"/>
    <col min="5387" max="5387" width="11.77734375" style="2839" customWidth="1"/>
    <col min="5388" max="5389" width="10.77734375" style="2839" customWidth="1"/>
    <col min="5390" max="5390" width="10" style="2839" customWidth="1"/>
    <col min="5391" max="5392" width="10.44140625" style="2839" bestFit="1" customWidth="1"/>
    <col min="5393" max="5393" width="10" style="2839" customWidth="1"/>
    <col min="5394" max="5394" width="10.109375" style="2839" customWidth="1"/>
    <col min="5395" max="5395" width="10" style="2839" customWidth="1"/>
    <col min="5396" max="5396" width="26.109375" style="2839" customWidth="1"/>
    <col min="5397" max="5632" width="8.88671875" style="2839"/>
    <col min="5633" max="5633" width="9.44140625" style="2839" customWidth="1"/>
    <col min="5634" max="5634" width="8.88671875" style="2839"/>
    <col min="5635" max="5637" width="12.88671875" style="2839" customWidth="1"/>
    <col min="5638" max="5638" width="47.44140625" style="2839" customWidth="1"/>
    <col min="5639" max="5639" width="13" style="2839" customWidth="1"/>
    <col min="5640" max="5641" width="8.88671875" style="2839"/>
    <col min="5642" max="5642" width="5.77734375" style="2839" customWidth="1"/>
    <col min="5643" max="5643" width="11.77734375" style="2839" customWidth="1"/>
    <col min="5644" max="5645" width="10.77734375" style="2839" customWidth="1"/>
    <col min="5646" max="5646" width="10" style="2839" customWidth="1"/>
    <col min="5647" max="5648" width="10.44140625" style="2839" bestFit="1" customWidth="1"/>
    <col min="5649" max="5649" width="10" style="2839" customWidth="1"/>
    <col min="5650" max="5650" width="10.109375" style="2839" customWidth="1"/>
    <col min="5651" max="5651" width="10" style="2839" customWidth="1"/>
    <col min="5652" max="5652" width="26.109375" style="2839" customWidth="1"/>
    <col min="5653" max="5888" width="8.88671875" style="2839"/>
    <col min="5889" max="5889" width="9.44140625" style="2839" customWidth="1"/>
    <col min="5890" max="5890" width="8.88671875" style="2839"/>
    <col min="5891" max="5893" width="12.88671875" style="2839" customWidth="1"/>
    <col min="5894" max="5894" width="47.44140625" style="2839" customWidth="1"/>
    <col min="5895" max="5895" width="13" style="2839" customWidth="1"/>
    <col min="5896" max="5897" width="8.88671875" style="2839"/>
    <col min="5898" max="5898" width="5.77734375" style="2839" customWidth="1"/>
    <col min="5899" max="5899" width="11.77734375" style="2839" customWidth="1"/>
    <col min="5900" max="5901" width="10.77734375" style="2839" customWidth="1"/>
    <col min="5902" max="5902" width="10" style="2839" customWidth="1"/>
    <col min="5903" max="5904" width="10.44140625" style="2839" bestFit="1" customWidth="1"/>
    <col min="5905" max="5905" width="10" style="2839" customWidth="1"/>
    <col min="5906" max="5906" width="10.109375" style="2839" customWidth="1"/>
    <col min="5907" max="5907" width="10" style="2839" customWidth="1"/>
    <col min="5908" max="5908" width="26.109375" style="2839" customWidth="1"/>
    <col min="5909" max="6144" width="8.88671875" style="2839"/>
    <col min="6145" max="6145" width="9.44140625" style="2839" customWidth="1"/>
    <col min="6146" max="6146" width="8.88671875" style="2839"/>
    <col min="6147" max="6149" width="12.88671875" style="2839" customWidth="1"/>
    <col min="6150" max="6150" width="47.44140625" style="2839" customWidth="1"/>
    <col min="6151" max="6151" width="13" style="2839" customWidth="1"/>
    <col min="6152" max="6153" width="8.88671875" style="2839"/>
    <col min="6154" max="6154" width="5.77734375" style="2839" customWidth="1"/>
    <col min="6155" max="6155" width="11.77734375" style="2839" customWidth="1"/>
    <col min="6156" max="6157" width="10.77734375" style="2839" customWidth="1"/>
    <col min="6158" max="6158" width="10" style="2839" customWidth="1"/>
    <col min="6159" max="6160" width="10.44140625" style="2839" bestFit="1" customWidth="1"/>
    <col min="6161" max="6161" width="10" style="2839" customWidth="1"/>
    <col min="6162" max="6162" width="10.109375" style="2839" customWidth="1"/>
    <col min="6163" max="6163" width="10" style="2839" customWidth="1"/>
    <col min="6164" max="6164" width="26.109375" style="2839" customWidth="1"/>
    <col min="6165" max="6400" width="8.88671875" style="2839"/>
    <col min="6401" max="6401" width="9.44140625" style="2839" customWidth="1"/>
    <col min="6402" max="6402" width="8.88671875" style="2839"/>
    <col min="6403" max="6405" width="12.88671875" style="2839" customWidth="1"/>
    <col min="6406" max="6406" width="47.44140625" style="2839" customWidth="1"/>
    <col min="6407" max="6407" width="13" style="2839" customWidth="1"/>
    <col min="6408" max="6409" width="8.88671875" style="2839"/>
    <col min="6410" max="6410" width="5.77734375" style="2839" customWidth="1"/>
    <col min="6411" max="6411" width="11.77734375" style="2839" customWidth="1"/>
    <col min="6412" max="6413" width="10.77734375" style="2839" customWidth="1"/>
    <col min="6414" max="6414" width="10" style="2839" customWidth="1"/>
    <col min="6415" max="6416" width="10.44140625" style="2839" bestFit="1" customWidth="1"/>
    <col min="6417" max="6417" width="10" style="2839" customWidth="1"/>
    <col min="6418" max="6418" width="10.109375" style="2839" customWidth="1"/>
    <col min="6419" max="6419" width="10" style="2839" customWidth="1"/>
    <col min="6420" max="6420" width="26.109375" style="2839" customWidth="1"/>
    <col min="6421" max="6656" width="8.88671875" style="2839"/>
    <col min="6657" max="6657" width="9.44140625" style="2839" customWidth="1"/>
    <col min="6658" max="6658" width="8.88671875" style="2839"/>
    <col min="6659" max="6661" width="12.88671875" style="2839" customWidth="1"/>
    <col min="6662" max="6662" width="47.44140625" style="2839" customWidth="1"/>
    <col min="6663" max="6663" width="13" style="2839" customWidth="1"/>
    <col min="6664" max="6665" width="8.88671875" style="2839"/>
    <col min="6666" max="6666" width="5.77734375" style="2839" customWidth="1"/>
    <col min="6667" max="6667" width="11.77734375" style="2839" customWidth="1"/>
    <col min="6668" max="6669" width="10.77734375" style="2839" customWidth="1"/>
    <col min="6670" max="6670" width="10" style="2839" customWidth="1"/>
    <col min="6671" max="6672" width="10.44140625" style="2839" bestFit="1" customWidth="1"/>
    <col min="6673" max="6673" width="10" style="2839" customWidth="1"/>
    <col min="6674" max="6674" width="10.109375" style="2839" customWidth="1"/>
    <col min="6675" max="6675" width="10" style="2839" customWidth="1"/>
    <col min="6676" max="6676" width="26.109375" style="2839" customWidth="1"/>
    <col min="6677" max="6912" width="8.88671875" style="2839"/>
    <col min="6913" max="6913" width="9.44140625" style="2839" customWidth="1"/>
    <col min="6914" max="6914" width="8.88671875" style="2839"/>
    <col min="6915" max="6917" width="12.88671875" style="2839" customWidth="1"/>
    <col min="6918" max="6918" width="47.44140625" style="2839" customWidth="1"/>
    <col min="6919" max="6919" width="13" style="2839" customWidth="1"/>
    <col min="6920" max="6921" width="8.88671875" style="2839"/>
    <col min="6922" max="6922" width="5.77734375" style="2839" customWidth="1"/>
    <col min="6923" max="6923" width="11.77734375" style="2839" customWidth="1"/>
    <col min="6924" max="6925" width="10.77734375" style="2839" customWidth="1"/>
    <col min="6926" max="6926" width="10" style="2839" customWidth="1"/>
    <col min="6927" max="6928" width="10.44140625" style="2839" bestFit="1" customWidth="1"/>
    <col min="6929" max="6929" width="10" style="2839" customWidth="1"/>
    <col min="6930" max="6930" width="10.109375" style="2839" customWidth="1"/>
    <col min="6931" max="6931" width="10" style="2839" customWidth="1"/>
    <col min="6932" max="6932" width="26.109375" style="2839" customWidth="1"/>
    <col min="6933" max="7168" width="8.88671875" style="2839"/>
    <col min="7169" max="7169" width="9.44140625" style="2839" customWidth="1"/>
    <col min="7170" max="7170" width="8.88671875" style="2839"/>
    <col min="7171" max="7173" width="12.88671875" style="2839" customWidth="1"/>
    <col min="7174" max="7174" width="47.44140625" style="2839" customWidth="1"/>
    <col min="7175" max="7175" width="13" style="2839" customWidth="1"/>
    <col min="7176" max="7177" width="8.88671875" style="2839"/>
    <col min="7178" max="7178" width="5.77734375" style="2839" customWidth="1"/>
    <col min="7179" max="7179" width="11.77734375" style="2839" customWidth="1"/>
    <col min="7180" max="7181" width="10.77734375" style="2839" customWidth="1"/>
    <col min="7182" max="7182" width="10" style="2839" customWidth="1"/>
    <col min="7183" max="7184" width="10.44140625" style="2839" bestFit="1" customWidth="1"/>
    <col min="7185" max="7185" width="10" style="2839" customWidth="1"/>
    <col min="7186" max="7186" width="10.109375" style="2839" customWidth="1"/>
    <col min="7187" max="7187" width="10" style="2839" customWidth="1"/>
    <col min="7188" max="7188" width="26.109375" style="2839" customWidth="1"/>
    <col min="7189" max="7424" width="8.88671875" style="2839"/>
    <col min="7425" max="7425" width="9.44140625" style="2839" customWidth="1"/>
    <col min="7426" max="7426" width="8.88671875" style="2839"/>
    <col min="7427" max="7429" width="12.88671875" style="2839" customWidth="1"/>
    <col min="7430" max="7430" width="47.44140625" style="2839" customWidth="1"/>
    <col min="7431" max="7431" width="13" style="2839" customWidth="1"/>
    <col min="7432" max="7433" width="8.88671875" style="2839"/>
    <col min="7434" max="7434" width="5.77734375" style="2839" customWidth="1"/>
    <col min="7435" max="7435" width="11.77734375" style="2839" customWidth="1"/>
    <col min="7436" max="7437" width="10.77734375" style="2839" customWidth="1"/>
    <col min="7438" max="7438" width="10" style="2839" customWidth="1"/>
    <col min="7439" max="7440" width="10.44140625" style="2839" bestFit="1" customWidth="1"/>
    <col min="7441" max="7441" width="10" style="2839" customWidth="1"/>
    <col min="7442" max="7442" width="10.109375" style="2839" customWidth="1"/>
    <col min="7443" max="7443" width="10" style="2839" customWidth="1"/>
    <col min="7444" max="7444" width="26.109375" style="2839" customWidth="1"/>
    <col min="7445" max="7680" width="8.88671875" style="2839"/>
    <col min="7681" max="7681" width="9.44140625" style="2839" customWidth="1"/>
    <col min="7682" max="7682" width="8.88671875" style="2839"/>
    <col min="7683" max="7685" width="12.88671875" style="2839" customWidth="1"/>
    <col min="7686" max="7686" width="47.44140625" style="2839" customWidth="1"/>
    <col min="7687" max="7687" width="13" style="2839" customWidth="1"/>
    <col min="7688" max="7689" width="8.88671875" style="2839"/>
    <col min="7690" max="7690" width="5.77734375" style="2839" customWidth="1"/>
    <col min="7691" max="7691" width="11.77734375" style="2839" customWidth="1"/>
    <col min="7692" max="7693" width="10.77734375" style="2839" customWidth="1"/>
    <col min="7694" max="7694" width="10" style="2839" customWidth="1"/>
    <col min="7695" max="7696" width="10.44140625" style="2839" bestFit="1" customWidth="1"/>
    <col min="7697" max="7697" width="10" style="2839" customWidth="1"/>
    <col min="7698" max="7698" width="10.109375" style="2839" customWidth="1"/>
    <col min="7699" max="7699" width="10" style="2839" customWidth="1"/>
    <col min="7700" max="7700" width="26.109375" style="2839" customWidth="1"/>
    <col min="7701" max="7936" width="8.88671875" style="2839"/>
    <col min="7937" max="7937" width="9.44140625" style="2839" customWidth="1"/>
    <col min="7938" max="7938" width="8.88671875" style="2839"/>
    <col min="7939" max="7941" width="12.88671875" style="2839" customWidth="1"/>
    <col min="7942" max="7942" width="47.44140625" style="2839" customWidth="1"/>
    <col min="7943" max="7943" width="13" style="2839" customWidth="1"/>
    <col min="7944" max="7945" width="8.88671875" style="2839"/>
    <col min="7946" max="7946" width="5.77734375" style="2839" customWidth="1"/>
    <col min="7947" max="7947" width="11.77734375" style="2839" customWidth="1"/>
    <col min="7948" max="7949" width="10.77734375" style="2839" customWidth="1"/>
    <col min="7950" max="7950" width="10" style="2839" customWidth="1"/>
    <col min="7951" max="7952" width="10.44140625" style="2839" bestFit="1" customWidth="1"/>
    <col min="7953" max="7953" width="10" style="2839" customWidth="1"/>
    <col min="7954" max="7954" width="10.109375" style="2839" customWidth="1"/>
    <col min="7955" max="7955" width="10" style="2839" customWidth="1"/>
    <col min="7956" max="7956" width="26.109375" style="2839" customWidth="1"/>
    <col min="7957" max="8192" width="8.88671875" style="2839"/>
    <col min="8193" max="8193" width="9.44140625" style="2839" customWidth="1"/>
    <col min="8194" max="8194" width="8.88671875" style="2839"/>
    <col min="8195" max="8197" width="12.88671875" style="2839" customWidth="1"/>
    <col min="8198" max="8198" width="47.44140625" style="2839" customWidth="1"/>
    <col min="8199" max="8199" width="13" style="2839" customWidth="1"/>
    <col min="8200" max="8201" width="8.88671875" style="2839"/>
    <col min="8202" max="8202" width="5.77734375" style="2839" customWidth="1"/>
    <col min="8203" max="8203" width="11.77734375" style="2839" customWidth="1"/>
    <col min="8204" max="8205" width="10.77734375" style="2839" customWidth="1"/>
    <col min="8206" max="8206" width="10" style="2839" customWidth="1"/>
    <col min="8207" max="8208" width="10.44140625" style="2839" bestFit="1" customWidth="1"/>
    <col min="8209" max="8209" width="10" style="2839" customWidth="1"/>
    <col min="8210" max="8210" width="10.109375" style="2839" customWidth="1"/>
    <col min="8211" max="8211" width="10" style="2839" customWidth="1"/>
    <col min="8212" max="8212" width="26.109375" style="2839" customWidth="1"/>
    <col min="8213" max="8448" width="8.88671875" style="2839"/>
    <col min="8449" max="8449" width="9.44140625" style="2839" customWidth="1"/>
    <col min="8450" max="8450" width="8.88671875" style="2839"/>
    <col min="8451" max="8453" width="12.88671875" style="2839" customWidth="1"/>
    <col min="8454" max="8454" width="47.44140625" style="2839" customWidth="1"/>
    <col min="8455" max="8455" width="13" style="2839" customWidth="1"/>
    <col min="8456" max="8457" width="8.88671875" style="2839"/>
    <col min="8458" max="8458" width="5.77734375" style="2839" customWidth="1"/>
    <col min="8459" max="8459" width="11.77734375" style="2839" customWidth="1"/>
    <col min="8460" max="8461" width="10.77734375" style="2839" customWidth="1"/>
    <col min="8462" max="8462" width="10" style="2839" customWidth="1"/>
    <col min="8463" max="8464" width="10.44140625" style="2839" bestFit="1" customWidth="1"/>
    <col min="8465" max="8465" width="10" style="2839" customWidth="1"/>
    <col min="8466" max="8466" width="10.109375" style="2839" customWidth="1"/>
    <col min="8467" max="8467" width="10" style="2839" customWidth="1"/>
    <col min="8468" max="8468" width="26.109375" style="2839" customWidth="1"/>
    <col min="8469" max="8704" width="8.88671875" style="2839"/>
    <col min="8705" max="8705" width="9.44140625" style="2839" customWidth="1"/>
    <col min="8706" max="8706" width="8.88671875" style="2839"/>
    <col min="8707" max="8709" width="12.88671875" style="2839" customWidth="1"/>
    <col min="8710" max="8710" width="47.44140625" style="2839" customWidth="1"/>
    <col min="8711" max="8711" width="13" style="2839" customWidth="1"/>
    <col min="8712" max="8713" width="8.88671875" style="2839"/>
    <col min="8714" max="8714" width="5.77734375" style="2839" customWidth="1"/>
    <col min="8715" max="8715" width="11.77734375" style="2839" customWidth="1"/>
    <col min="8716" max="8717" width="10.77734375" style="2839" customWidth="1"/>
    <col min="8718" max="8718" width="10" style="2839" customWidth="1"/>
    <col min="8719" max="8720" width="10.44140625" style="2839" bestFit="1" customWidth="1"/>
    <col min="8721" max="8721" width="10" style="2839" customWidth="1"/>
    <col min="8722" max="8722" width="10.109375" style="2839" customWidth="1"/>
    <col min="8723" max="8723" width="10" style="2839" customWidth="1"/>
    <col min="8724" max="8724" width="26.109375" style="2839" customWidth="1"/>
    <col min="8725" max="8960" width="8.88671875" style="2839"/>
    <col min="8961" max="8961" width="9.44140625" style="2839" customWidth="1"/>
    <col min="8962" max="8962" width="8.88671875" style="2839"/>
    <col min="8963" max="8965" width="12.88671875" style="2839" customWidth="1"/>
    <col min="8966" max="8966" width="47.44140625" style="2839" customWidth="1"/>
    <col min="8967" max="8967" width="13" style="2839" customWidth="1"/>
    <col min="8968" max="8969" width="8.88671875" style="2839"/>
    <col min="8970" max="8970" width="5.77734375" style="2839" customWidth="1"/>
    <col min="8971" max="8971" width="11.77734375" style="2839" customWidth="1"/>
    <col min="8972" max="8973" width="10.77734375" style="2839" customWidth="1"/>
    <col min="8974" max="8974" width="10" style="2839" customWidth="1"/>
    <col min="8975" max="8976" width="10.44140625" style="2839" bestFit="1" customWidth="1"/>
    <col min="8977" max="8977" width="10" style="2839" customWidth="1"/>
    <col min="8978" max="8978" width="10.109375" style="2839" customWidth="1"/>
    <col min="8979" max="8979" width="10" style="2839" customWidth="1"/>
    <col min="8980" max="8980" width="26.109375" style="2839" customWidth="1"/>
    <col min="8981" max="9216" width="8.88671875" style="2839"/>
    <col min="9217" max="9217" width="9.44140625" style="2839" customWidth="1"/>
    <col min="9218" max="9218" width="8.88671875" style="2839"/>
    <col min="9219" max="9221" width="12.88671875" style="2839" customWidth="1"/>
    <col min="9222" max="9222" width="47.44140625" style="2839" customWidth="1"/>
    <col min="9223" max="9223" width="13" style="2839" customWidth="1"/>
    <col min="9224" max="9225" width="8.88671875" style="2839"/>
    <col min="9226" max="9226" width="5.77734375" style="2839" customWidth="1"/>
    <col min="9227" max="9227" width="11.77734375" style="2839" customWidth="1"/>
    <col min="9228" max="9229" width="10.77734375" style="2839" customWidth="1"/>
    <col min="9230" max="9230" width="10" style="2839" customWidth="1"/>
    <col min="9231" max="9232" width="10.44140625" style="2839" bestFit="1" customWidth="1"/>
    <col min="9233" max="9233" width="10" style="2839" customWidth="1"/>
    <col min="9234" max="9234" width="10.109375" style="2839" customWidth="1"/>
    <col min="9235" max="9235" width="10" style="2839" customWidth="1"/>
    <col min="9236" max="9236" width="26.109375" style="2839" customWidth="1"/>
    <col min="9237" max="9472" width="8.88671875" style="2839"/>
    <col min="9473" max="9473" width="9.44140625" style="2839" customWidth="1"/>
    <col min="9474" max="9474" width="8.88671875" style="2839"/>
    <col min="9475" max="9477" width="12.88671875" style="2839" customWidth="1"/>
    <col min="9478" max="9478" width="47.44140625" style="2839" customWidth="1"/>
    <col min="9479" max="9479" width="13" style="2839" customWidth="1"/>
    <col min="9480" max="9481" width="8.88671875" style="2839"/>
    <col min="9482" max="9482" width="5.77734375" style="2839" customWidth="1"/>
    <col min="9483" max="9483" width="11.77734375" style="2839" customWidth="1"/>
    <col min="9484" max="9485" width="10.77734375" style="2839" customWidth="1"/>
    <col min="9486" max="9486" width="10" style="2839" customWidth="1"/>
    <col min="9487" max="9488" width="10.44140625" style="2839" bestFit="1" customWidth="1"/>
    <col min="9489" max="9489" width="10" style="2839" customWidth="1"/>
    <col min="9490" max="9490" width="10.109375" style="2839" customWidth="1"/>
    <col min="9491" max="9491" width="10" style="2839" customWidth="1"/>
    <col min="9492" max="9492" width="26.109375" style="2839" customWidth="1"/>
    <col min="9493" max="9728" width="8.88671875" style="2839"/>
    <col min="9729" max="9729" width="9.44140625" style="2839" customWidth="1"/>
    <col min="9730" max="9730" width="8.88671875" style="2839"/>
    <col min="9731" max="9733" width="12.88671875" style="2839" customWidth="1"/>
    <col min="9734" max="9734" width="47.44140625" style="2839" customWidth="1"/>
    <col min="9735" max="9735" width="13" style="2839" customWidth="1"/>
    <col min="9736" max="9737" width="8.88671875" style="2839"/>
    <col min="9738" max="9738" width="5.77734375" style="2839" customWidth="1"/>
    <col min="9739" max="9739" width="11.77734375" style="2839" customWidth="1"/>
    <col min="9740" max="9741" width="10.77734375" style="2839" customWidth="1"/>
    <col min="9742" max="9742" width="10" style="2839" customWidth="1"/>
    <col min="9743" max="9744" width="10.44140625" style="2839" bestFit="1" customWidth="1"/>
    <col min="9745" max="9745" width="10" style="2839" customWidth="1"/>
    <col min="9746" max="9746" width="10.109375" style="2839" customWidth="1"/>
    <col min="9747" max="9747" width="10" style="2839" customWidth="1"/>
    <col min="9748" max="9748" width="26.109375" style="2839" customWidth="1"/>
    <col min="9749" max="9984" width="8.88671875" style="2839"/>
    <col min="9985" max="9985" width="9.44140625" style="2839" customWidth="1"/>
    <col min="9986" max="9986" width="8.88671875" style="2839"/>
    <col min="9987" max="9989" width="12.88671875" style="2839" customWidth="1"/>
    <col min="9990" max="9990" width="47.44140625" style="2839" customWidth="1"/>
    <col min="9991" max="9991" width="13" style="2839" customWidth="1"/>
    <col min="9992" max="9993" width="8.88671875" style="2839"/>
    <col min="9994" max="9994" width="5.77734375" style="2839" customWidth="1"/>
    <col min="9995" max="9995" width="11.77734375" style="2839" customWidth="1"/>
    <col min="9996" max="9997" width="10.77734375" style="2839" customWidth="1"/>
    <col min="9998" max="9998" width="10" style="2839" customWidth="1"/>
    <col min="9999" max="10000" width="10.44140625" style="2839" bestFit="1" customWidth="1"/>
    <col min="10001" max="10001" width="10" style="2839" customWidth="1"/>
    <col min="10002" max="10002" width="10.109375" style="2839" customWidth="1"/>
    <col min="10003" max="10003" width="10" style="2839" customWidth="1"/>
    <col min="10004" max="10004" width="26.109375" style="2839" customWidth="1"/>
    <col min="10005" max="10240" width="8.88671875" style="2839"/>
    <col min="10241" max="10241" width="9.44140625" style="2839" customWidth="1"/>
    <col min="10242" max="10242" width="8.88671875" style="2839"/>
    <col min="10243" max="10245" width="12.88671875" style="2839" customWidth="1"/>
    <col min="10246" max="10246" width="47.44140625" style="2839" customWidth="1"/>
    <col min="10247" max="10247" width="13" style="2839" customWidth="1"/>
    <col min="10248" max="10249" width="8.88671875" style="2839"/>
    <col min="10250" max="10250" width="5.77734375" style="2839" customWidth="1"/>
    <col min="10251" max="10251" width="11.77734375" style="2839" customWidth="1"/>
    <col min="10252" max="10253" width="10.77734375" style="2839" customWidth="1"/>
    <col min="10254" max="10254" width="10" style="2839" customWidth="1"/>
    <col min="10255" max="10256" width="10.44140625" style="2839" bestFit="1" customWidth="1"/>
    <col min="10257" max="10257" width="10" style="2839" customWidth="1"/>
    <col min="10258" max="10258" width="10.109375" style="2839" customWidth="1"/>
    <col min="10259" max="10259" width="10" style="2839" customWidth="1"/>
    <col min="10260" max="10260" width="26.109375" style="2839" customWidth="1"/>
    <col min="10261" max="10496" width="8.88671875" style="2839"/>
    <col min="10497" max="10497" width="9.44140625" style="2839" customWidth="1"/>
    <col min="10498" max="10498" width="8.88671875" style="2839"/>
    <col min="10499" max="10501" width="12.88671875" style="2839" customWidth="1"/>
    <col min="10502" max="10502" width="47.44140625" style="2839" customWidth="1"/>
    <col min="10503" max="10503" width="13" style="2839" customWidth="1"/>
    <col min="10504" max="10505" width="8.88671875" style="2839"/>
    <col min="10506" max="10506" width="5.77734375" style="2839" customWidth="1"/>
    <col min="10507" max="10507" width="11.77734375" style="2839" customWidth="1"/>
    <col min="10508" max="10509" width="10.77734375" style="2839" customWidth="1"/>
    <col min="10510" max="10510" width="10" style="2839" customWidth="1"/>
    <col min="10511" max="10512" width="10.44140625" style="2839" bestFit="1" customWidth="1"/>
    <col min="10513" max="10513" width="10" style="2839" customWidth="1"/>
    <col min="10514" max="10514" width="10.109375" style="2839" customWidth="1"/>
    <col min="10515" max="10515" width="10" style="2839" customWidth="1"/>
    <col min="10516" max="10516" width="26.109375" style="2839" customWidth="1"/>
    <col min="10517" max="10752" width="8.88671875" style="2839"/>
    <col min="10753" max="10753" width="9.44140625" style="2839" customWidth="1"/>
    <col min="10754" max="10754" width="8.88671875" style="2839"/>
    <col min="10755" max="10757" width="12.88671875" style="2839" customWidth="1"/>
    <col min="10758" max="10758" width="47.44140625" style="2839" customWidth="1"/>
    <col min="10759" max="10759" width="13" style="2839" customWidth="1"/>
    <col min="10760" max="10761" width="8.88671875" style="2839"/>
    <col min="10762" max="10762" width="5.77734375" style="2839" customWidth="1"/>
    <col min="10763" max="10763" width="11.77734375" style="2839" customWidth="1"/>
    <col min="10764" max="10765" width="10.77734375" style="2839" customWidth="1"/>
    <col min="10766" max="10766" width="10" style="2839" customWidth="1"/>
    <col min="10767" max="10768" width="10.44140625" style="2839" bestFit="1" customWidth="1"/>
    <col min="10769" max="10769" width="10" style="2839" customWidth="1"/>
    <col min="10770" max="10770" width="10.109375" style="2839" customWidth="1"/>
    <col min="10771" max="10771" width="10" style="2839" customWidth="1"/>
    <col min="10772" max="10772" width="26.109375" style="2839" customWidth="1"/>
    <col min="10773" max="11008" width="8.88671875" style="2839"/>
    <col min="11009" max="11009" width="9.44140625" style="2839" customWidth="1"/>
    <col min="11010" max="11010" width="8.88671875" style="2839"/>
    <col min="11011" max="11013" width="12.88671875" style="2839" customWidth="1"/>
    <col min="11014" max="11014" width="47.44140625" style="2839" customWidth="1"/>
    <col min="11015" max="11015" width="13" style="2839" customWidth="1"/>
    <col min="11016" max="11017" width="8.88671875" style="2839"/>
    <col min="11018" max="11018" width="5.77734375" style="2839" customWidth="1"/>
    <col min="11019" max="11019" width="11.77734375" style="2839" customWidth="1"/>
    <col min="11020" max="11021" width="10.77734375" style="2839" customWidth="1"/>
    <col min="11022" max="11022" width="10" style="2839" customWidth="1"/>
    <col min="11023" max="11024" width="10.44140625" style="2839" bestFit="1" customWidth="1"/>
    <col min="11025" max="11025" width="10" style="2839" customWidth="1"/>
    <col min="11026" max="11026" width="10.109375" style="2839" customWidth="1"/>
    <col min="11027" max="11027" width="10" style="2839" customWidth="1"/>
    <col min="11028" max="11028" width="26.109375" style="2839" customWidth="1"/>
    <col min="11029" max="11264" width="8.88671875" style="2839"/>
    <col min="11265" max="11265" width="9.44140625" style="2839" customWidth="1"/>
    <col min="11266" max="11266" width="8.88671875" style="2839"/>
    <col min="11267" max="11269" width="12.88671875" style="2839" customWidth="1"/>
    <col min="11270" max="11270" width="47.44140625" style="2839" customWidth="1"/>
    <col min="11271" max="11271" width="13" style="2839" customWidth="1"/>
    <col min="11272" max="11273" width="8.88671875" style="2839"/>
    <col min="11274" max="11274" width="5.77734375" style="2839" customWidth="1"/>
    <col min="11275" max="11275" width="11.77734375" style="2839" customWidth="1"/>
    <col min="11276" max="11277" width="10.77734375" style="2839" customWidth="1"/>
    <col min="11278" max="11278" width="10" style="2839" customWidth="1"/>
    <col min="11279" max="11280" width="10.44140625" style="2839" bestFit="1" customWidth="1"/>
    <col min="11281" max="11281" width="10" style="2839" customWidth="1"/>
    <col min="11282" max="11282" width="10.109375" style="2839" customWidth="1"/>
    <col min="11283" max="11283" width="10" style="2839" customWidth="1"/>
    <col min="11284" max="11284" width="26.109375" style="2839" customWidth="1"/>
    <col min="11285" max="11520" width="8.88671875" style="2839"/>
    <col min="11521" max="11521" width="9.44140625" style="2839" customWidth="1"/>
    <col min="11522" max="11522" width="8.88671875" style="2839"/>
    <col min="11523" max="11525" width="12.88671875" style="2839" customWidth="1"/>
    <col min="11526" max="11526" width="47.44140625" style="2839" customWidth="1"/>
    <col min="11527" max="11527" width="13" style="2839" customWidth="1"/>
    <col min="11528" max="11529" width="8.88671875" style="2839"/>
    <col min="11530" max="11530" width="5.77734375" style="2839" customWidth="1"/>
    <col min="11531" max="11531" width="11.77734375" style="2839" customWidth="1"/>
    <col min="11532" max="11533" width="10.77734375" style="2839" customWidth="1"/>
    <col min="11534" max="11534" width="10" style="2839" customWidth="1"/>
    <col min="11535" max="11536" width="10.44140625" style="2839" bestFit="1" customWidth="1"/>
    <col min="11537" max="11537" width="10" style="2839" customWidth="1"/>
    <col min="11538" max="11538" width="10.109375" style="2839" customWidth="1"/>
    <col min="11539" max="11539" width="10" style="2839" customWidth="1"/>
    <col min="11540" max="11540" width="26.109375" style="2839" customWidth="1"/>
    <col min="11541" max="11776" width="8.88671875" style="2839"/>
    <col min="11777" max="11777" width="9.44140625" style="2839" customWidth="1"/>
    <col min="11778" max="11778" width="8.88671875" style="2839"/>
    <col min="11779" max="11781" width="12.88671875" style="2839" customWidth="1"/>
    <col min="11782" max="11782" width="47.44140625" style="2839" customWidth="1"/>
    <col min="11783" max="11783" width="13" style="2839" customWidth="1"/>
    <col min="11784" max="11785" width="8.88671875" style="2839"/>
    <col min="11786" max="11786" width="5.77734375" style="2839" customWidth="1"/>
    <col min="11787" max="11787" width="11.77734375" style="2839" customWidth="1"/>
    <col min="11788" max="11789" width="10.77734375" style="2839" customWidth="1"/>
    <col min="11790" max="11790" width="10" style="2839" customWidth="1"/>
    <col min="11791" max="11792" width="10.44140625" style="2839" bestFit="1" customWidth="1"/>
    <col min="11793" max="11793" width="10" style="2839" customWidth="1"/>
    <col min="11794" max="11794" width="10.109375" style="2839" customWidth="1"/>
    <col min="11795" max="11795" width="10" style="2839" customWidth="1"/>
    <col min="11796" max="11796" width="26.109375" style="2839" customWidth="1"/>
    <col min="11797" max="12032" width="8.88671875" style="2839"/>
    <col min="12033" max="12033" width="9.44140625" style="2839" customWidth="1"/>
    <col min="12034" max="12034" width="8.88671875" style="2839"/>
    <col min="12035" max="12037" width="12.88671875" style="2839" customWidth="1"/>
    <col min="12038" max="12038" width="47.44140625" style="2839" customWidth="1"/>
    <col min="12039" max="12039" width="13" style="2839" customWidth="1"/>
    <col min="12040" max="12041" width="8.88671875" style="2839"/>
    <col min="12042" max="12042" width="5.77734375" style="2839" customWidth="1"/>
    <col min="12043" max="12043" width="11.77734375" style="2839" customWidth="1"/>
    <col min="12044" max="12045" width="10.77734375" style="2839" customWidth="1"/>
    <col min="12046" max="12046" width="10" style="2839" customWidth="1"/>
    <col min="12047" max="12048" width="10.44140625" style="2839" bestFit="1" customWidth="1"/>
    <col min="12049" max="12049" width="10" style="2839" customWidth="1"/>
    <col min="12050" max="12050" width="10.109375" style="2839" customWidth="1"/>
    <col min="12051" max="12051" width="10" style="2839" customWidth="1"/>
    <col min="12052" max="12052" width="26.109375" style="2839" customWidth="1"/>
    <col min="12053" max="12288" width="8.88671875" style="2839"/>
    <col min="12289" max="12289" width="9.44140625" style="2839" customWidth="1"/>
    <col min="12290" max="12290" width="8.88671875" style="2839"/>
    <col min="12291" max="12293" width="12.88671875" style="2839" customWidth="1"/>
    <col min="12294" max="12294" width="47.44140625" style="2839" customWidth="1"/>
    <col min="12295" max="12295" width="13" style="2839" customWidth="1"/>
    <col min="12296" max="12297" width="8.88671875" style="2839"/>
    <col min="12298" max="12298" width="5.77734375" style="2839" customWidth="1"/>
    <col min="12299" max="12299" width="11.77734375" style="2839" customWidth="1"/>
    <col min="12300" max="12301" width="10.77734375" style="2839" customWidth="1"/>
    <col min="12302" max="12302" width="10" style="2839" customWidth="1"/>
    <col min="12303" max="12304" width="10.44140625" style="2839" bestFit="1" customWidth="1"/>
    <col min="12305" max="12305" width="10" style="2839" customWidth="1"/>
    <col min="12306" max="12306" width="10.109375" style="2839" customWidth="1"/>
    <col min="12307" max="12307" width="10" style="2839" customWidth="1"/>
    <col min="12308" max="12308" width="26.109375" style="2839" customWidth="1"/>
    <col min="12309" max="12544" width="8.88671875" style="2839"/>
    <col min="12545" max="12545" width="9.44140625" style="2839" customWidth="1"/>
    <col min="12546" max="12546" width="8.88671875" style="2839"/>
    <col min="12547" max="12549" width="12.88671875" style="2839" customWidth="1"/>
    <col min="12550" max="12550" width="47.44140625" style="2839" customWidth="1"/>
    <col min="12551" max="12551" width="13" style="2839" customWidth="1"/>
    <col min="12552" max="12553" width="8.88671875" style="2839"/>
    <col min="12554" max="12554" width="5.77734375" style="2839" customWidth="1"/>
    <col min="12555" max="12555" width="11.77734375" style="2839" customWidth="1"/>
    <col min="12556" max="12557" width="10.77734375" style="2839" customWidth="1"/>
    <col min="12558" max="12558" width="10" style="2839" customWidth="1"/>
    <col min="12559" max="12560" width="10.44140625" style="2839" bestFit="1" customWidth="1"/>
    <col min="12561" max="12561" width="10" style="2839" customWidth="1"/>
    <col min="12562" max="12562" width="10.109375" style="2839" customWidth="1"/>
    <col min="12563" max="12563" width="10" style="2839" customWidth="1"/>
    <col min="12564" max="12564" width="26.109375" style="2839" customWidth="1"/>
    <col min="12565" max="12800" width="8.88671875" style="2839"/>
    <col min="12801" max="12801" width="9.44140625" style="2839" customWidth="1"/>
    <col min="12802" max="12802" width="8.88671875" style="2839"/>
    <col min="12803" max="12805" width="12.88671875" style="2839" customWidth="1"/>
    <col min="12806" max="12806" width="47.44140625" style="2839" customWidth="1"/>
    <col min="12807" max="12807" width="13" style="2839" customWidth="1"/>
    <col min="12808" max="12809" width="8.88671875" style="2839"/>
    <col min="12810" max="12810" width="5.77734375" style="2839" customWidth="1"/>
    <col min="12811" max="12811" width="11.77734375" style="2839" customWidth="1"/>
    <col min="12812" max="12813" width="10.77734375" style="2839" customWidth="1"/>
    <col min="12814" max="12814" width="10" style="2839" customWidth="1"/>
    <col min="12815" max="12816" width="10.44140625" style="2839" bestFit="1" customWidth="1"/>
    <col min="12817" max="12817" width="10" style="2839" customWidth="1"/>
    <col min="12818" max="12818" width="10.109375" style="2839" customWidth="1"/>
    <col min="12819" max="12819" width="10" style="2839" customWidth="1"/>
    <col min="12820" max="12820" width="26.109375" style="2839" customWidth="1"/>
    <col min="12821" max="13056" width="8.88671875" style="2839"/>
    <col min="13057" max="13057" width="9.44140625" style="2839" customWidth="1"/>
    <col min="13058" max="13058" width="8.88671875" style="2839"/>
    <col min="13059" max="13061" width="12.88671875" style="2839" customWidth="1"/>
    <col min="13062" max="13062" width="47.44140625" style="2839" customWidth="1"/>
    <col min="13063" max="13063" width="13" style="2839" customWidth="1"/>
    <col min="13064" max="13065" width="8.88671875" style="2839"/>
    <col min="13066" max="13066" width="5.77734375" style="2839" customWidth="1"/>
    <col min="13067" max="13067" width="11.77734375" style="2839" customWidth="1"/>
    <col min="13068" max="13069" width="10.77734375" style="2839" customWidth="1"/>
    <col min="13070" max="13070" width="10" style="2839" customWidth="1"/>
    <col min="13071" max="13072" width="10.44140625" style="2839" bestFit="1" customWidth="1"/>
    <col min="13073" max="13073" width="10" style="2839" customWidth="1"/>
    <col min="13074" max="13074" width="10.109375" style="2839" customWidth="1"/>
    <col min="13075" max="13075" width="10" style="2839" customWidth="1"/>
    <col min="13076" max="13076" width="26.109375" style="2839" customWidth="1"/>
    <col min="13077" max="13312" width="8.88671875" style="2839"/>
    <col min="13313" max="13313" width="9.44140625" style="2839" customWidth="1"/>
    <col min="13314" max="13314" width="8.88671875" style="2839"/>
    <col min="13315" max="13317" width="12.88671875" style="2839" customWidth="1"/>
    <col min="13318" max="13318" width="47.44140625" style="2839" customWidth="1"/>
    <col min="13319" max="13319" width="13" style="2839" customWidth="1"/>
    <col min="13320" max="13321" width="8.88671875" style="2839"/>
    <col min="13322" max="13322" width="5.77734375" style="2839" customWidth="1"/>
    <col min="13323" max="13323" width="11.77734375" style="2839" customWidth="1"/>
    <col min="13324" max="13325" width="10.77734375" style="2839" customWidth="1"/>
    <col min="13326" max="13326" width="10" style="2839" customWidth="1"/>
    <col min="13327" max="13328" width="10.44140625" style="2839" bestFit="1" customWidth="1"/>
    <col min="13329" max="13329" width="10" style="2839" customWidth="1"/>
    <col min="13330" max="13330" width="10.109375" style="2839" customWidth="1"/>
    <col min="13331" max="13331" width="10" style="2839" customWidth="1"/>
    <col min="13332" max="13332" width="26.109375" style="2839" customWidth="1"/>
    <col min="13333" max="13568" width="8.88671875" style="2839"/>
    <col min="13569" max="13569" width="9.44140625" style="2839" customWidth="1"/>
    <col min="13570" max="13570" width="8.88671875" style="2839"/>
    <col min="13571" max="13573" width="12.88671875" style="2839" customWidth="1"/>
    <col min="13574" max="13574" width="47.44140625" style="2839" customWidth="1"/>
    <col min="13575" max="13575" width="13" style="2839" customWidth="1"/>
    <col min="13576" max="13577" width="8.88671875" style="2839"/>
    <col min="13578" max="13578" width="5.77734375" style="2839" customWidth="1"/>
    <col min="13579" max="13579" width="11.77734375" style="2839" customWidth="1"/>
    <col min="13580" max="13581" width="10.77734375" style="2839" customWidth="1"/>
    <col min="13582" max="13582" width="10" style="2839" customWidth="1"/>
    <col min="13583" max="13584" width="10.44140625" style="2839" bestFit="1" customWidth="1"/>
    <col min="13585" max="13585" width="10" style="2839" customWidth="1"/>
    <col min="13586" max="13586" width="10.109375" style="2839" customWidth="1"/>
    <col min="13587" max="13587" width="10" style="2839" customWidth="1"/>
    <col min="13588" max="13588" width="26.109375" style="2839" customWidth="1"/>
    <col min="13589" max="13824" width="8.88671875" style="2839"/>
    <col min="13825" max="13825" width="9.44140625" style="2839" customWidth="1"/>
    <col min="13826" max="13826" width="8.88671875" style="2839"/>
    <col min="13827" max="13829" width="12.88671875" style="2839" customWidth="1"/>
    <col min="13830" max="13830" width="47.44140625" style="2839" customWidth="1"/>
    <col min="13831" max="13831" width="13" style="2839" customWidth="1"/>
    <col min="13832" max="13833" width="8.88671875" style="2839"/>
    <col min="13834" max="13834" width="5.77734375" style="2839" customWidth="1"/>
    <col min="13835" max="13835" width="11.77734375" style="2839" customWidth="1"/>
    <col min="13836" max="13837" width="10.77734375" style="2839" customWidth="1"/>
    <col min="13838" max="13838" width="10" style="2839" customWidth="1"/>
    <col min="13839" max="13840" width="10.44140625" style="2839" bestFit="1" customWidth="1"/>
    <col min="13841" max="13841" width="10" style="2839" customWidth="1"/>
    <col min="13842" max="13842" width="10.109375" style="2839" customWidth="1"/>
    <col min="13843" max="13843" width="10" style="2839" customWidth="1"/>
    <col min="13844" max="13844" width="26.109375" style="2839" customWidth="1"/>
    <col min="13845" max="14080" width="8.88671875" style="2839"/>
    <col min="14081" max="14081" width="9.44140625" style="2839" customWidth="1"/>
    <col min="14082" max="14082" width="8.88671875" style="2839"/>
    <col min="14083" max="14085" width="12.88671875" style="2839" customWidth="1"/>
    <col min="14086" max="14086" width="47.44140625" style="2839" customWidth="1"/>
    <col min="14087" max="14087" width="13" style="2839" customWidth="1"/>
    <col min="14088" max="14089" width="8.88671875" style="2839"/>
    <col min="14090" max="14090" width="5.77734375" style="2839" customWidth="1"/>
    <col min="14091" max="14091" width="11.77734375" style="2839" customWidth="1"/>
    <col min="14092" max="14093" width="10.77734375" style="2839" customWidth="1"/>
    <col min="14094" max="14094" width="10" style="2839" customWidth="1"/>
    <col min="14095" max="14096" width="10.44140625" style="2839" bestFit="1" customWidth="1"/>
    <col min="14097" max="14097" width="10" style="2839" customWidth="1"/>
    <col min="14098" max="14098" width="10.109375" style="2839" customWidth="1"/>
    <col min="14099" max="14099" width="10" style="2839" customWidth="1"/>
    <col min="14100" max="14100" width="26.109375" style="2839" customWidth="1"/>
    <col min="14101" max="14336" width="8.88671875" style="2839"/>
    <col min="14337" max="14337" width="9.44140625" style="2839" customWidth="1"/>
    <col min="14338" max="14338" width="8.88671875" style="2839"/>
    <col min="14339" max="14341" width="12.88671875" style="2839" customWidth="1"/>
    <col min="14342" max="14342" width="47.44140625" style="2839" customWidth="1"/>
    <col min="14343" max="14343" width="13" style="2839" customWidth="1"/>
    <col min="14344" max="14345" width="8.88671875" style="2839"/>
    <col min="14346" max="14346" width="5.77734375" style="2839" customWidth="1"/>
    <col min="14347" max="14347" width="11.77734375" style="2839" customWidth="1"/>
    <col min="14348" max="14349" width="10.77734375" style="2839" customWidth="1"/>
    <col min="14350" max="14350" width="10" style="2839" customWidth="1"/>
    <col min="14351" max="14352" width="10.44140625" style="2839" bestFit="1" customWidth="1"/>
    <col min="14353" max="14353" width="10" style="2839" customWidth="1"/>
    <col min="14354" max="14354" width="10.109375" style="2839" customWidth="1"/>
    <col min="14355" max="14355" width="10" style="2839" customWidth="1"/>
    <col min="14356" max="14356" width="26.109375" style="2839" customWidth="1"/>
    <col min="14357" max="14592" width="8.88671875" style="2839"/>
    <col min="14593" max="14593" width="9.44140625" style="2839" customWidth="1"/>
    <col min="14594" max="14594" width="8.88671875" style="2839"/>
    <col min="14595" max="14597" width="12.88671875" style="2839" customWidth="1"/>
    <col min="14598" max="14598" width="47.44140625" style="2839" customWidth="1"/>
    <col min="14599" max="14599" width="13" style="2839" customWidth="1"/>
    <col min="14600" max="14601" width="8.88671875" style="2839"/>
    <col min="14602" max="14602" width="5.77734375" style="2839" customWidth="1"/>
    <col min="14603" max="14603" width="11.77734375" style="2839" customWidth="1"/>
    <col min="14604" max="14605" width="10.77734375" style="2839" customWidth="1"/>
    <col min="14606" max="14606" width="10" style="2839" customWidth="1"/>
    <col min="14607" max="14608" width="10.44140625" style="2839" bestFit="1" customWidth="1"/>
    <col min="14609" max="14609" width="10" style="2839" customWidth="1"/>
    <col min="14610" max="14610" width="10.109375" style="2839" customWidth="1"/>
    <col min="14611" max="14611" width="10" style="2839" customWidth="1"/>
    <col min="14612" max="14612" width="26.109375" style="2839" customWidth="1"/>
    <col min="14613" max="14848" width="8.88671875" style="2839"/>
    <col min="14849" max="14849" width="9.44140625" style="2839" customWidth="1"/>
    <col min="14850" max="14850" width="8.88671875" style="2839"/>
    <col min="14851" max="14853" width="12.88671875" style="2839" customWidth="1"/>
    <col min="14854" max="14854" width="47.44140625" style="2839" customWidth="1"/>
    <col min="14855" max="14855" width="13" style="2839" customWidth="1"/>
    <col min="14856" max="14857" width="8.88671875" style="2839"/>
    <col min="14858" max="14858" width="5.77734375" style="2839" customWidth="1"/>
    <col min="14859" max="14859" width="11.77734375" style="2839" customWidth="1"/>
    <col min="14860" max="14861" width="10.77734375" style="2839" customWidth="1"/>
    <col min="14862" max="14862" width="10" style="2839" customWidth="1"/>
    <col min="14863" max="14864" width="10.44140625" style="2839" bestFit="1" customWidth="1"/>
    <col min="14865" max="14865" width="10" style="2839" customWidth="1"/>
    <col min="14866" max="14866" width="10.109375" style="2839" customWidth="1"/>
    <col min="14867" max="14867" width="10" style="2839" customWidth="1"/>
    <col min="14868" max="14868" width="26.109375" style="2839" customWidth="1"/>
    <col min="14869" max="15104" width="8.88671875" style="2839"/>
    <col min="15105" max="15105" width="9.44140625" style="2839" customWidth="1"/>
    <col min="15106" max="15106" width="8.88671875" style="2839"/>
    <col min="15107" max="15109" width="12.88671875" style="2839" customWidth="1"/>
    <col min="15110" max="15110" width="47.44140625" style="2839" customWidth="1"/>
    <col min="15111" max="15111" width="13" style="2839" customWidth="1"/>
    <col min="15112" max="15113" width="8.88671875" style="2839"/>
    <col min="15114" max="15114" width="5.77734375" style="2839" customWidth="1"/>
    <col min="15115" max="15115" width="11.77734375" style="2839" customWidth="1"/>
    <col min="15116" max="15117" width="10.77734375" style="2839" customWidth="1"/>
    <col min="15118" max="15118" width="10" style="2839" customWidth="1"/>
    <col min="15119" max="15120" width="10.44140625" style="2839" bestFit="1" customWidth="1"/>
    <col min="15121" max="15121" width="10" style="2839" customWidth="1"/>
    <col min="15122" max="15122" width="10.109375" style="2839" customWidth="1"/>
    <col min="15123" max="15123" width="10" style="2839" customWidth="1"/>
    <col min="15124" max="15124" width="26.109375" style="2839" customWidth="1"/>
    <col min="15125" max="15360" width="8.88671875" style="2839"/>
    <col min="15361" max="15361" width="9.44140625" style="2839" customWidth="1"/>
    <col min="15362" max="15362" width="8.88671875" style="2839"/>
    <col min="15363" max="15365" width="12.88671875" style="2839" customWidth="1"/>
    <col min="15366" max="15366" width="47.44140625" style="2839" customWidth="1"/>
    <col min="15367" max="15367" width="13" style="2839" customWidth="1"/>
    <col min="15368" max="15369" width="8.88671875" style="2839"/>
    <col min="15370" max="15370" width="5.77734375" style="2839" customWidth="1"/>
    <col min="15371" max="15371" width="11.77734375" style="2839" customWidth="1"/>
    <col min="15372" max="15373" width="10.77734375" style="2839" customWidth="1"/>
    <col min="15374" max="15374" width="10" style="2839" customWidth="1"/>
    <col min="15375" max="15376" width="10.44140625" style="2839" bestFit="1" customWidth="1"/>
    <col min="15377" max="15377" width="10" style="2839" customWidth="1"/>
    <col min="15378" max="15378" width="10.109375" style="2839" customWidth="1"/>
    <col min="15379" max="15379" width="10" style="2839" customWidth="1"/>
    <col min="15380" max="15380" width="26.109375" style="2839" customWidth="1"/>
    <col min="15381" max="15616" width="8.88671875" style="2839"/>
    <col min="15617" max="15617" width="9.44140625" style="2839" customWidth="1"/>
    <col min="15618" max="15618" width="8.88671875" style="2839"/>
    <col min="15619" max="15621" width="12.88671875" style="2839" customWidth="1"/>
    <col min="15622" max="15622" width="47.44140625" style="2839" customWidth="1"/>
    <col min="15623" max="15623" width="13" style="2839" customWidth="1"/>
    <col min="15624" max="15625" width="8.88671875" style="2839"/>
    <col min="15626" max="15626" width="5.77734375" style="2839" customWidth="1"/>
    <col min="15627" max="15627" width="11.77734375" style="2839" customWidth="1"/>
    <col min="15628" max="15629" width="10.77734375" style="2839" customWidth="1"/>
    <col min="15630" max="15630" width="10" style="2839" customWidth="1"/>
    <col min="15631" max="15632" width="10.44140625" style="2839" bestFit="1" customWidth="1"/>
    <col min="15633" max="15633" width="10" style="2839" customWidth="1"/>
    <col min="15634" max="15634" width="10.109375" style="2839" customWidth="1"/>
    <col min="15635" max="15635" width="10" style="2839" customWidth="1"/>
    <col min="15636" max="15636" width="26.109375" style="2839" customWidth="1"/>
    <col min="15637" max="15872" width="8.88671875" style="2839"/>
    <col min="15873" max="15873" width="9.44140625" style="2839" customWidth="1"/>
    <col min="15874" max="15874" width="8.88671875" style="2839"/>
    <col min="15875" max="15877" width="12.88671875" style="2839" customWidth="1"/>
    <col min="15878" max="15878" width="47.44140625" style="2839" customWidth="1"/>
    <col min="15879" max="15879" width="13" style="2839" customWidth="1"/>
    <col min="15880" max="15881" width="8.88671875" style="2839"/>
    <col min="15882" max="15882" width="5.77734375" style="2839" customWidth="1"/>
    <col min="15883" max="15883" width="11.77734375" style="2839" customWidth="1"/>
    <col min="15884" max="15885" width="10.77734375" style="2839" customWidth="1"/>
    <col min="15886" max="15886" width="10" style="2839" customWidth="1"/>
    <col min="15887" max="15888" width="10.44140625" style="2839" bestFit="1" customWidth="1"/>
    <col min="15889" max="15889" width="10" style="2839" customWidth="1"/>
    <col min="15890" max="15890" width="10.109375" style="2839" customWidth="1"/>
    <col min="15891" max="15891" width="10" style="2839" customWidth="1"/>
    <col min="15892" max="15892" width="26.109375" style="2839" customWidth="1"/>
    <col min="15893" max="16128" width="8.88671875" style="2839"/>
    <col min="16129" max="16129" width="9.44140625" style="2839" customWidth="1"/>
    <col min="16130" max="16130" width="8.88671875" style="2839"/>
    <col min="16131" max="16133" width="12.88671875" style="2839" customWidth="1"/>
    <col min="16134" max="16134" width="47.44140625" style="2839" customWidth="1"/>
    <col min="16135" max="16135" width="13" style="2839" customWidth="1"/>
    <col min="16136" max="16137" width="8.88671875" style="2839"/>
    <col min="16138" max="16138" width="5.77734375" style="2839" customWidth="1"/>
    <col min="16139" max="16139" width="11.77734375" style="2839" customWidth="1"/>
    <col min="16140" max="16141" width="10.77734375" style="2839" customWidth="1"/>
    <col min="16142" max="16142" width="10" style="2839" customWidth="1"/>
    <col min="16143" max="16144" width="10.44140625" style="2839" bestFit="1" customWidth="1"/>
    <col min="16145" max="16145" width="10" style="2839" customWidth="1"/>
    <col min="16146" max="16146" width="10.109375" style="2839" customWidth="1"/>
    <col min="16147" max="16147" width="10" style="2839" customWidth="1"/>
    <col min="16148" max="16148" width="26.109375" style="2839" customWidth="1"/>
    <col min="16149" max="16384" width="8.88671875" style="2839"/>
  </cols>
  <sheetData>
    <row r="1" spans="1:22" ht="21" customHeight="1">
      <c r="A1" s="2828" t="s">
        <v>2438</v>
      </c>
      <c r="B1" s="2829"/>
      <c r="C1" s="2841"/>
      <c r="D1" s="2841"/>
      <c r="E1" s="2830"/>
      <c r="F1" s="2831"/>
      <c r="G1" s="2832"/>
      <c r="J1" s="2835" t="s">
        <v>2317</v>
      </c>
      <c r="K1" s="2836"/>
      <c r="L1" s="2836"/>
      <c r="M1" s="2836"/>
      <c r="N1" s="2836"/>
      <c r="O1" s="2836"/>
      <c r="P1" s="2836"/>
      <c r="Q1" s="2836"/>
      <c r="R1" s="2837"/>
      <c r="S1" s="2838"/>
      <c r="T1" s="2838"/>
      <c r="U1" s="2838"/>
    </row>
    <row r="2" spans="1:22" s="2850" customFormat="1" ht="13.2" customHeight="1">
      <c r="A2" s="1382" t="s">
        <v>2318</v>
      </c>
      <c r="B2" s="2840" t="e">
        <f>IF(D2="——",C40,C40+E2)</f>
        <v>#DIV/0!</v>
      </c>
      <c r="C2" s="2841" t="s">
        <v>2319</v>
      </c>
      <c r="D2" s="3444" t="s">
        <v>3369</v>
      </c>
      <c r="E2" s="3445"/>
      <c r="F2" s="2843"/>
      <c r="G2" s="2844"/>
      <c r="H2" s="2845"/>
      <c r="I2" s="2846"/>
      <c r="J2" s="3676" t="s">
        <v>2320</v>
      </c>
      <c r="K2" s="3677"/>
      <c r="L2" s="2847" t="s">
        <v>2321</v>
      </c>
      <c r="M2" s="2847" t="s">
        <v>2322</v>
      </c>
      <c r="N2" s="2847" t="s">
        <v>2323</v>
      </c>
      <c r="O2" s="2847" t="s">
        <v>2324</v>
      </c>
      <c r="P2" s="2847" t="s">
        <v>2325</v>
      </c>
      <c r="Q2" s="2848" t="s">
        <v>2326</v>
      </c>
      <c r="R2" s="2849" t="s">
        <v>2327</v>
      </c>
      <c r="S2" s="2838"/>
      <c r="T2" s="2838"/>
      <c r="U2" s="2838"/>
      <c r="V2" s="2846"/>
    </row>
    <row r="3" spans="1:22" s="2850" customFormat="1" ht="13.2" customHeight="1">
      <c r="A3" s="2851" t="s">
        <v>2328</v>
      </c>
      <c r="B3" s="2852" t="e">
        <f>ROUND(B2*10000/B4,0)</f>
        <v>#DIV/0!</v>
      </c>
      <c r="C3" s="2841" t="s">
        <v>2329</v>
      </c>
      <c r="D3" s="2841"/>
      <c r="E3" s="2842"/>
      <c r="F3" s="2843"/>
      <c r="G3" s="2844"/>
      <c r="H3" s="2845"/>
      <c r="I3" s="2846"/>
      <c r="J3" s="3678" t="s">
        <v>2330</v>
      </c>
      <c r="K3" s="3679"/>
      <c r="L3" s="2853"/>
      <c r="M3" s="2853"/>
      <c r="N3" s="2853"/>
      <c r="O3" s="2853"/>
      <c r="P3" s="2853"/>
      <c r="Q3" s="2854"/>
      <c r="R3" s="2855">
        <f>SUM(L3:Q3)</f>
        <v>0</v>
      </c>
      <c r="S3" s="2838"/>
      <c r="T3" s="2838"/>
      <c r="U3" s="2838"/>
      <c r="V3" s="2846"/>
    </row>
    <row r="4" spans="1:22" s="2850" customFormat="1" ht="13.2" customHeight="1">
      <c r="A4" s="2856" t="s">
        <v>2331</v>
      </c>
      <c r="B4" s="2857"/>
      <c r="C4" s="2841"/>
      <c r="D4" s="2841"/>
      <c r="E4" s="2842"/>
      <c r="F4" s="2843"/>
      <c r="G4" s="2844"/>
      <c r="H4" s="2845"/>
      <c r="I4" s="2846"/>
      <c r="J4" s="3678" t="s">
        <v>2332</v>
      </c>
      <c r="K4" s="3679"/>
      <c r="L4" s="2858"/>
      <c r="M4" s="2858"/>
      <c r="N4" s="2858"/>
      <c r="O4" s="2858"/>
      <c r="P4" s="2858"/>
      <c r="Q4" s="2859"/>
      <c r="R4" s="2860">
        <f>SUM(L4:Q4)</f>
        <v>0</v>
      </c>
      <c r="S4" s="2838"/>
      <c r="T4" s="2838"/>
      <c r="U4" s="2838"/>
      <c r="V4" s="2846"/>
    </row>
    <row r="5" spans="1:22" s="2850" customFormat="1" ht="13.2" customHeight="1" thickBot="1">
      <c r="A5" s="2861" t="s">
        <v>2333</v>
      </c>
      <c r="B5" s="2862"/>
      <c r="C5" s="2841"/>
      <c r="D5" s="2863"/>
      <c r="E5" s="2843"/>
      <c r="F5" s="2843"/>
      <c r="G5" s="2844"/>
      <c r="H5" s="2845"/>
      <c r="I5" s="2846"/>
      <c r="J5" s="2864" t="s">
        <v>2334</v>
      </c>
      <c r="K5" s="2865"/>
      <c r="L5" s="2865"/>
      <c r="M5" s="2866"/>
      <c r="N5" s="2866"/>
      <c r="O5" s="2866"/>
      <c r="P5" s="2866"/>
      <c r="Q5" s="2866"/>
      <c r="R5" s="2849">
        <f>SUM(R14,R19,R24,R25,R27,R28)</f>
        <v>0</v>
      </c>
      <c r="S5" s="2838"/>
      <c r="T5" s="2838" t="s">
        <v>2335</v>
      </c>
      <c r="U5" s="2838" t="e">
        <f>ROUND(R5*10000/365/R3,1)</f>
        <v>#DIV/0!</v>
      </c>
      <c r="V5" s="2846"/>
    </row>
    <row r="6" spans="1:22" s="2850" customFormat="1" ht="13.2" customHeight="1" thickBot="1">
      <c r="A6" s="3684" t="s">
        <v>2336</v>
      </c>
      <c r="B6" s="3685"/>
      <c r="C6" s="3686"/>
      <c r="D6" s="2867"/>
      <c r="E6" s="2868"/>
      <c r="F6" s="2869"/>
      <c r="G6" s="2870"/>
      <c r="H6" s="2845"/>
      <c r="I6" s="2846"/>
      <c r="J6" s="3670">
        <v>1</v>
      </c>
      <c r="K6" s="3671" t="s">
        <v>2337</v>
      </c>
      <c r="L6" s="2871" t="s">
        <v>2338</v>
      </c>
      <c r="M6" s="2872" t="s">
        <v>2339</v>
      </c>
      <c r="N6" s="2872" t="s">
        <v>2340</v>
      </c>
      <c r="O6" s="2872" t="s">
        <v>2341</v>
      </c>
      <c r="P6" s="2872" t="s">
        <v>2342</v>
      </c>
      <c r="Q6" s="2872" t="s">
        <v>2343</v>
      </c>
      <c r="R6" s="2855" t="s">
        <v>2344</v>
      </c>
      <c r="S6" s="2838"/>
      <c r="T6" s="2838" t="s">
        <v>2345</v>
      </c>
      <c r="U6" s="2838"/>
      <c r="V6" s="2846"/>
    </row>
    <row r="7" spans="1:22" s="2850" customFormat="1" ht="13.2" customHeight="1">
      <c r="A7" s="2873" t="s">
        <v>2346</v>
      </c>
      <c r="B7" s="2874"/>
      <c r="C7" s="2875"/>
      <c r="D7" s="2876">
        <f>SUM(D9,D10,D11,D17,0)</f>
        <v>0</v>
      </c>
      <c r="E7" s="2877" t="e">
        <f>E9+E10+E11+E17</f>
        <v>#DIV/0!</v>
      </c>
      <c r="F7" s="2878"/>
      <c r="G7" s="2879"/>
      <c r="H7" s="2845"/>
      <c r="I7" s="2846"/>
      <c r="J7" s="3670"/>
      <c r="K7" s="3672"/>
      <c r="L7" s="2880" t="s">
        <v>2347</v>
      </c>
      <c r="M7" s="2881"/>
      <c r="N7" s="2857"/>
      <c r="O7" s="2882"/>
      <c r="P7" s="2882"/>
      <c r="Q7" s="2883">
        <v>365</v>
      </c>
      <c r="R7" s="2884">
        <f>ROUND(M7*N7*O7*P7*Q7/10000,0)</f>
        <v>0</v>
      </c>
      <c r="S7" s="2838"/>
      <c r="T7" s="2838" t="s">
        <v>2348</v>
      </c>
      <c r="U7" s="2838"/>
      <c r="V7" s="2846"/>
    </row>
    <row r="8" spans="1:22" s="2850" customFormat="1" ht="13.2" customHeight="1">
      <c r="A8" s="2885" t="s">
        <v>2349</v>
      </c>
      <c r="B8" s="3687" t="s">
        <v>2350</v>
      </c>
      <c r="C8" s="3688"/>
      <c r="D8" s="2886" t="s">
        <v>2351</v>
      </c>
      <c r="E8" s="2887" t="s">
        <v>2352</v>
      </c>
      <c r="F8" s="2888" t="s">
        <v>2353</v>
      </c>
      <c r="G8" s="2889"/>
      <c r="H8" s="2845"/>
      <c r="I8" s="2846"/>
      <c r="J8" s="3670"/>
      <c r="K8" s="3672"/>
      <c r="L8" s="2880" t="s">
        <v>2354</v>
      </c>
      <c r="M8" s="2881"/>
      <c r="N8" s="2857"/>
      <c r="O8" s="2882"/>
      <c r="P8" s="2882"/>
      <c r="Q8" s="2883">
        <v>365</v>
      </c>
      <c r="R8" s="2884">
        <f t="shared" ref="R8:R13" si="0">ROUND(M8*N8*O8*P8*Q8/10000,0)</f>
        <v>0</v>
      </c>
      <c r="S8" s="2838"/>
      <c r="T8" s="2838" t="s">
        <v>2355</v>
      </c>
      <c r="U8" s="2838"/>
      <c r="V8" s="2846"/>
    </row>
    <row r="9" spans="1:22" s="2850" customFormat="1" ht="13.2" customHeight="1">
      <c r="A9" s="2885">
        <v>1</v>
      </c>
      <c r="B9" s="3687" t="s">
        <v>2356</v>
      </c>
      <c r="C9" s="3688"/>
      <c r="D9" s="2886">
        <f>ROUND(D6*E9,0)</f>
        <v>0</v>
      </c>
      <c r="E9" s="2890"/>
      <c r="F9" s="2891" t="s">
        <v>2357</v>
      </c>
      <c r="G9" s="2870"/>
      <c r="H9" s="2845"/>
      <c r="I9" s="2846"/>
      <c r="J9" s="3670"/>
      <c r="K9" s="3672"/>
      <c r="L9" s="2880" t="s">
        <v>2358</v>
      </c>
      <c r="M9" s="2881"/>
      <c r="N9" s="2857"/>
      <c r="O9" s="2882"/>
      <c r="P9" s="2882"/>
      <c r="Q9" s="2883">
        <v>365</v>
      </c>
      <c r="R9" s="2884">
        <f t="shared" si="0"/>
        <v>0</v>
      </c>
      <c r="S9" s="2838"/>
      <c r="T9" s="2838"/>
      <c r="U9" s="2838"/>
      <c r="V9" s="2846"/>
    </row>
    <row r="10" spans="1:22" s="2850" customFormat="1" ht="13.2" customHeight="1">
      <c r="A10" s="2885">
        <v>2</v>
      </c>
      <c r="B10" s="3687" t="s">
        <v>2359</v>
      </c>
      <c r="C10" s="3688"/>
      <c r="D10" s="2886">
        <f>ROUND(D6*E10,0)</f>
        <v>0</v>
      </c>
      <c r="E10" s="2890"/>
      <c r="F10" s="2891" t="s">
        <v>2360</v>
      </c>
      <c r="G10" s="2870"/>
      <c r="H10" s="2845"/>
      <c r="I10" s="2846"/>
      <c r="J10" s="3670"/>
      <c r="K10" s="3672"/>
      <c r="L10" s="2880" t="s">
        <v>2361</v>
      </c>
      <c r="M10" s="2881"/>
      <c r="N10" s="2857"/>
      <c r="O10" s="2882"/>
      <c r="P10" s="2882"/>
      <c r="Q10" s="2883">
        <v>365</v>
      </c>
      <c r="R10" s="2884">
        <f t="shared" si="0"/>
        <v>0</v>
      </c>
      <c r="S10" s="2838"/>
      <c r="T10" s="2838"/>
      <c r="U10" s="2838"/>
      <c r="V10" s="2846"/>
    </row>
    <row r="11" spans="1:22" s="2850" customFormat="1" ht="13.2" customHeight="1">
      <c r="A11" s="2885">
        <v>3</v>
      </c>
      <c r="B11" s="3687" t="s">
        <v>2362</v>
      </c>
      <c r="C11" s="3688"/>
      <c r="D11" s="2886">
        <f>D12+D14+D15+D16</f>
        <v>0</v>
      </c>
      <c r="E11" s="2892" t="e">
        <f>D11/D6</f>
        <v>#DIV/0!</v>
      </c>
      <c r="F11" s="2888"/>
      <c r="G11" s="2889"/>
      <c r="H11" s="2845"/>
      <c r="I11" s="2846"/>
      <c r="J11" s="3670"/>
      <c r="K11" s="3672"/>
      <c r="L11" s="2880" t="s">
        <v>2363</v>
      </c>
      <c r="M11" s="2881"/>
      <c r="N11" s="2857"/>
      <c r="O11" s="2882"/>
      <c r="P11" s="2882"/>
      <c r="Q11" s="2883">
        <v>365</v>
      </c>
      <c r="R11" s="2884">
        <f t="shared" si="0"/>
        <v>0</v>
      </c>
      <c r="S11" s="2838"/>
      <c r="T11" s="2838"/>
      <c r="U11" s="2838"/>
      <c r="V11" s="2846"/>
    </row>
    <row r="12" spans="1:22" s="2850" customFormat="1" ht="13.2" customHeight="1">
      <c r="A12" s="2893" t="s">
        <v>2364</v>
      </c>
      <c r="B12" s="3680" t="s">
        <v>2365</v>
      </c>
      <c r="C12" s="3681"/>
      <c r="D12" s="2894">
        <f>ROUND(D13*1.2%*(1-30%),0)</f>
        <v>0</v>
      </c>
      <c r="E12" s="2895">
        <v>1.2E-2</v>
      </c>
      <c r="F12" s="2888" t="s">
        <v>2366</v>
      </c>
      <c r="G12" s="2889"/>
      <c r="H12" s="2845"/>
      <c r="I12" s="2846"/>
      <c r="J12" s="3670"/>
      <c r="K12" s="3672"/>
      <c r="L12" s="2880" t="s">
        <v>2367</v>
      </c>
      <c r="M12" s="2881"/>
      <c r="N12" s="2857"/>
      <c r="O12" s="2882"/>
      <c r="P12" s="2882"/>
      <c r="Q12" s="2883">
        <v>365</v>
      </c>
      <c r="R12" s="2884">
        <f t="shared" si="0"/>
        <v>0</v>
      </c>
      <c r="S12" s="2838"/>
      <c r="T12" s="2838"/>
      <c r="U12" s="2838"/>
      <c r="V12" s="2846"/>
    </row>
    <row r="13" spans="1:22" s="2850" customFormat="1" ht="13.2" customHeight="1">
      <c r="A13" s="2893"/>
      <c r="B13" s="2896"/>
      <c r="C13" s="2897" t="s">
        <v>2368</v>
      </c>
      <c r="D13" s="2898"/>
      <c r="E13" s="2899"/>
      <c r="F13" s="2888"/>
      <c r="G13" s="2889"/>
      <c r="H13" s="2845"/>
      <c r="I13" s="2846"/>
      <c r="J13" s="3670"/>
      <c r="K13" s="3672"/>
      <c r="L13" s="2880" t="s">
        <v>2369</v>
      </c>
      <c r="M13" s="2881"/>
      <c r="N13" s="2857"/>
      <c r="O13" s="2882"/>
      <c r="P13" s="2882"/>
      <c r="Q13" s="2883">
        <v>365</v>
      </c>
      <c r="R13" s="2884">
        <f t="shared" si="0"/>
        <v>0</v>
      </c>
      <c r="S13" s="2838"/>
      <c r="T13" s="2838"/>
      <c r="U13" s="2838"/>
      <c r="V13" s="2846"/>
    </row>
    <row r="14" spans="1:22" s="2850" customFormat="1" ht="13.2" customHeight="1">
      <c r="A14" s="2893" t="s">
        <v>2370</v>
      </c>
      <c r="B14" s="3680" t="s">
        <v>2371</v>
      </c>
      <c r="C14" s="3681"/>
      <c r="D14" s="2894">
        <f>ROUND(E14*B5/10000,0)</f>
        <v>0</v>
      </c>
      <c r="E14" s="2883"/>
      <c r="F14" s="2888" t="s">
        <v>2372</v>
      </c>
      <c r="G14" s="2889"/>
      <c r="H14" s="2845"/>
      <c r="I14" s="2846"/>
      <c r="J14" s="3670"/>
      <c r="K14" s="3673"/>
      <c r="L14" s="2900" t="s">
        <v>2373</v>
      </c>
      <c r="M14" s="2901">
        <f>SUM(M7:M13)</f>
        <v>0</v>
      </c>
      <c r="N14" s="2901" t="e">
        <f>ROUND((N7*M7+N8*M8+N9*M9+N10*M10+N11*M11+N12*M12+N13*M13)/M14,0)</f>
        <v>#DIV/0!</v>
      </c>
      <c r="O14" s="2902"/>
      <c r="P14" s="2902"/>
      <c r="Q14" s="2903"/>
      <c r="R14" s="2849">
        <f>SUM(R7:R13)</f>
        <v>0</v>
      </c>
      <c r="S14" s="2838"/>
      <c r="T14" s="2838"/>
      <c r="U14" s="2838"/>
      <c r="V14" s="2846"/>
    </row>
    <row r="15" spans="1:22" s="2850" customFormat="1" ht="13.2" customHeight="1">
      <c r="A15" s="2893" t="s">
        <v>2374</v>
      </c>
      <c r="B15" s="3680" t="s">
        <v>2375</v>
      </c>
      <c r="C15" s="3681"/>
      <c r="D15" s="2894">
        <f>ROUND(D6*E15,0)</f>
        <v>0</v>
      </c>
      <c r="E15" s="2895">
        <v>5.5E-2</v>
      </c>
      <c r="F15" s="2888" t="s">
        <v>2376</v>
      </c>
      <c r="G15" s="2870"/>
      <c r="H15" s="2845"/>
      <c r="I15" s="2846"/>
      <c r="J15" s="3670">
        <v>2</v>
      </c>
      <c r="K15" s="3671" t="s">
        <v>2377</v>
      </c>
      <c r="L15" s="2880" t="s">
        <v>2378</v>
      </c>
      <c r="M15" s="2881" t="s">
        <v>2379</v>
      </c>
      <c r="N15" s="2881" t="s">
        <v>2380</v>
      </c>
      <c r="O15" s="2882" t="s">
        <v>2381</v>
      </c>
      <c r="P15" s="2882" t="s">
        <v>2343</v>
      </c>
      <c r="Q15" s="2857" t="s">
        <v>2382</v>
      </c>
      <c r="R15" s="2904" t="s">
        <v>2344</v>
      </c>
      <c r="S15" s="2838"/>
      <c r="T15" s="2838"/>
      <c r="U15" s="2838"/>
      <c r="V15" s="2846"/>
    </row>
    <row r="16" spans="1:22" s="2850" customFormat="1" ht="13.2" customHeight="1">
      <c r="A16" s="2893" t="s">
        <v>2383</v>
      </c>
      <c r="B16" s="3680" t="s">
        <v>2384</v>
      </c>
      <c r="C16" s="3681"/>
      <c r="D16" s="2905">
        <f>D6*E16</f>
        <v>0</v>
      </c>
      <c r="E16" s="2906"/>
      <c r="F16" s="2891" t="s">
        <v>2385</v>
      </c>
      <c r="G16" s="2870"/>
      <c r="H16" s="2845"/>
      <c r="I16" s="2846"/>
      <c r="J16" s="3670"/>
      <c r="K16" s="3672"/>
      <c r="L16" s="2880" t="s">
        <v>2386</v>
      </c>
      <c r="M16" s="2881"/>
      <c r="N16" s="2881"/>
      <c r="O16" s="2882"/>
      <c r="P16" s="2883">
        <v>365</v>
      </c>
      <c r="Q16" s="2857"/>
      <c r="R16" s="2904">
        <f>ROUND(M16*N16*O16*P16/10000,0)</f>
        <v>0</v>
      </c>
      <c r="S16" s="2838"/>
      <c r="T16" s="2838"/>
      <c r="U16" s="2838"/>
      <c r="V16" s="2846"/>
    </row>
    <row r="17" spans="1:22" s="2850" customFormat="1" ht="13.2" customHeight="1" thickBot="1">
      <c r="A17" s="2907">
        <v>4</v>
      </c>
      <c r="B17" s="3682" t="s">
        <v>2387</v>
      </c>
      <c r="C17" s="3683"/>
      <c r="D17" s="2908">
        <f>ROUND(D6*E17,0)</f>
        <v>0</v>
      </c>
      <c r="E17" s="2909"/>
      <c r="F17" s="2910" t="s">
        <v>2388</v>
      </c>
      <c r="G17" s="2870"/>
      <c r="H17" s="2845"/>
      <c r="I17" s="2846"/>
      <c r="J17" s="3670"/>
      <c r="K17" s="3672"/>
      <c r="L17" s="2880" t="s">
        <v>2389</v>
      </c>
      <c r="M17" s="2881"/>
      <c r="N17" s="2881"/>
      <c r="O17" s="2882"/>
      <c r="P17" s="2883">
        <v>365</v>
      </c>
      <c r="Q17" s="2857"/>
      <c r="R17" s="2904">
        <f>ROUND(M17*N17*O17*P17/10000,0)</f>
        <v>0</v>
      </c>
      <c r="S17" s="2838"/>
      <c r="T17" s="2838"/>
      <c r="U17" s="2838"/>
      <c r="V17" s="2846"/>
    </row>
    <row r="18" spans="1:22" s="2850" customFormat="1" ht="13.2" customHeight="1" thickBot="1">
      <c r="A18" s="2873" t="s">
        <v>2390</v>
      </c>
      <c r="B18" s="2874"/>
      <c r="C18" s="2874"/>
      <c r="D18" s="2911">
        <f>ROUND(D6*E18,0)</f>
        <v>0</v>
      </c>
      <c r="E18" s="2912"/>
      <c r="F18" s="2913" t="s">
        <v>2391</v>
      </c>
      <c r="G18" s="2870"/>
      <c r="H18" s="2845"/>
      <c r="I18" s="2846"/>
      <c r="J18" s="3670"/>
      <c r="K18" s="3672"/>
      <c r="L18" s="2880" t="s">
        <v>2392</v>
      </c>
      <c r="M18" s="2881"/>
      <c r="N18" s="2881"/>
      <c r="O18" s="2882"/>
      <c r="P18" s="2883">
        <v>365</v>
      </c>
      <c r="Q18" s="2857"/>
      <c r="R18" s="2904">
        <f>ROUND(M18*N18*O18*P18/10000,0)</f>
        <v>0</v>
      </c>
      <c r="S18" s="2838"/>
      <c r="T18" s="2838"/>
      <c r="U18" s="2838"/>
      <c r="V18" s="2846"/>
    </row>
    <row r="19" spans="1:22" s="2850" customFormat="1" ht="13.2" customHeight="1" thickBot="1">
      <c r="A19" s="2914" t="s">
        <v>2393</v>
      </c>
      <c r="B19" s="2868"/>
      <c r="C19" s="2868"/>
      <c r="D19" s="2868"/>
      <c r="E19" s="2868"/>
      <c r="F19" s="2869"/>
      <c r="G19" s="2889"/>
      <c r="H19" s="2845"/>
      <c r="I19" s="2846"/>
      <c r="J19" s="3670"/>
      <c r="K19" s="3673"/>
      <c r="L19" s="2900" t="s">
        <v>2373</v>
      </c>
      <c r="M19" s="2901"/>
      <c r="N19" s="2901">
        <f>SUM(N16:N18)</f>
        <v>0</v>
      </c>
      <c r="O19" s="2902"/>
      <c r="P19" s="2915" t="s">
        <v>2437</v>
      </c>
      <c r="Q19" s="2882">
        <v>0</v>
      </c>
      <c r="R19" s="2916">
        <f>ROUND(IF(P19="按比例",R14*Q19,SUM(R16:R18)),0)</f>
        <v>0</v>
      </c>
      <c r="S19" s="2838"/>
      <c r="T19" s="2838"/>
      <c r="U19" s="2838"/>
      <c r="V19" s="2846"/>
    </row>
    <row r="20" spans="1:22" s="2850" customFormat="1" ht="13.2" customHeight="1">
      <c r="A20" s="2873"/>
      <c r="B20" s="2874"/>
      <c r="C20" s="2874"/>
      <c r="D20" s="2874"/>
      <c r="E20" s="2874"/>
      <c r="F20" s="2917"/>
      <c r="G20" s="2889"/>
      <c r="H20" s="2845"/>
      <c r="I20" s="2846"/>
      <c r="J20" s="3670">
        <v>3</v>
      </c>
      <c r="K20" s="3671" t="s">
        <v>2394</v>
      </c>
      <c r="L20" s="2880" t="s">
        <v>2395</v>
      </c>
      <c r="M20" s="2881" t="s">
        <v>2396</v>
      </c>
      <c r="N20" s="2918" t="s">
        <v>2397</v>
      </c>
      <c r="O20" s="2882" t="s">
        <v>2398</v>
      </c>
      <c r="P20" s="2883" t="s">
        <v>2399</v>
      </c>
      <c r="Q20" s="2857" t="s">
        <v>2400</v>
      </c>
      <c r="R20" s="2904" t="s">
        <v>2401</v>
      </c>
      <c r="S20" s="2919"/>
      <c r="T20" s="2919"/>
      <c r="U20" s="2919"/>
      <c r="V20" s="2846"/>
    </row>
    <row r="21" spans="1:22" s="2850" customFormat="1" ht="13.2" customHeight="1">
      <c r="A21" s="2873"/>
      <c r="B21" s="2874"/>
      <c r="C21" s="2920" t="s">
        <v>2402</v>
      </c>
      <c r="D21" s="2921" t="s">
        <v>2403</v>
      </c>
      <c r="E21" s="2922" t="s">
        <v>2404</v>
      </c>
      <c r="F21" s="2917"/>
      <c r="G21" s="2889"/>
      <c r="H21" s="2845"/>
      <c r="I21" s="2846"/>
      <c r="J21" s="3670"/>
      <c r="K21" s="3672"/>
      <c r="L21" s="2880" t="s">
        <v>2405</v>
      </c>
      <c r="M21" s="2881"/>
      <c r="N21" s="2881"/>
      <c r="O21" s="2882"/>
      <c r="P21" s="2883">
        <v>365</v>
      </c>
      <c r="Q21" s="2857"/>
      <c r="R21" s="2923">
        <f>ROUND(M21*N21*O21*P21/10000,0)</f>
        <v>0</v>
      </c>
      <c r="S21" s="2919"/>
      <c r="T21" s="2919"/>
      <c r="U21" s="2919"/>
      <c r="V21" s="2846"/>
    </row>
    <row r="22" spans="1:22" s="2850" customFormat="1" ht="13.2" customHeight="1">
      <c r="A22" s="2873"/>
      <c r="B22" s="2874"/>
      <c r="C22" s="2924" t="s">
        <v>2406</v>
      </c>
      <c r="D22" s="2925" t="s">
        <v>2407</v>
      </c>
      <c r="E22" s="2926" t="s">
        <v>2408</v>
      </c>
      <c r="F22" s="2917"/>
      <c r="G22" s="2927"/>
      <c r="H22" s="2845"/>
      <c r="I22" s="2846"/>
      <c r="J22" s="3670"/>
      <c r="K22" s="3672"/>
      <c r="L22" s="2880" t="s">
        <v>2409</v>
      </c>
      <c r="M22" s="2881"/>
      <c r="N22" s="2881"/>
      <c r="O22" s="2882"/>
      <c r="P22" s="2883">
        <v>365</v>
      </c>
      <c r="Q22" s="2857"/>
      <c r="R22" s="2923">
        <f>ROUND(M22*N22*O22*P22/10000,0)</f>
        <v>0</v>
      </c>
      <c r="S22" s="2919"/>
      <c r="T22" s="2919"/>
      <c r="U22" s="2919"/>
      <c r="V22" s="2846"/>
    </row>
    <row r="23" spans="1:22" s="2850" customFormat="1" ht="13.2" customHeight="1">
      <c r="A23" s="2928">
        <v>1</v>
      </c>
      <c r="B23" s="2929" t="s">
        <v>2410</v>
      </c>
      <c r="C23" s="2930">
        <f>D6</f>
        <v>0</v>
      </c>
      <c r="D23" s="2931">
        <f>C23*(1+D24)</f>
        <v>0</v>
      </c>
      <c r="E23" s="2932">
        <f>D23*(1+E24)</f>
        <v>0</v>
      </c>
      <c r="F23" s="2933"/>
      <c r="G23" s="2934"/>
      <c r="H23" s="2845"/>
      <c r="I23" s="2846"/>
      <c r="J23" s="3670"/>
      <c r="K23" s="3672"/>
      <c r="L23" s="2880" t="s">
        <v>2411</v>
      </c>
      <c r="M23" s="2881"/>
      <c r="N23" s="2881"/>
      <c r="O23" s="2882"/>
      <c r="P23" s="2883">
        <v>365</v>
      </c>
      <c r="Q23" s="2857"/>
      <c r="R23" s="2923">
        <f>ROUND(M23*N23*O23*P23/10000,0)</f>
        <v>0</v>
      </c>
      <c r="S23" s="2838"/>
      <c r="T23" s="2838"/>
      <c r="U23" s="2838"/>
      <c r="V23" s="2846"/>
    </row>
    <row r="24" spans="1:22" s="2850" customFormat="1" ht="13.2" customHeight="1">
      <c r="A24" s="2935"/>
      <c r="B24" s="2936" t="s">
        <v>2412</v>
      </c>
      <c r="C24" s="2937"/>
      <c r="D24" s="2938"/>
      <c r="E24" s="2939"/>
      <c r="F24" s="2940"/>
      <c r="G24" s="2934"/>
      <c r="H24" s="2845"/>
      <c r="I24" s="2846"/>
      <c r="J24" s="3670"/>
      <c r="K24" s="3673"/>
      <c r="L24" s="2900" t="s">
        <v>2373</v>
      </c>
      <c r="M24" s="2901">
        <f>SUM(M21:M23)</f>
        <v>0</v>
      </c>
      <c r="N24" s="2901"/>
      <c r="O24" s="2902"/>
      <c r="P24" s="2915" t="s">
        <v>2437</v>
      </c>
      <c r="Q24" s="2882">
        <v>0</v>
      </c>
      <c r="R24" s="2916">
        <f>ROUND(IF(P24="按比例",R14*Q24,SUM(R21:R23)),0)</f>
        <v>0</v>
      </c>
      <c r="S24" s="2838"/>
      <c r="T24" s="2838"/>
      <c r="U24" s="2838"/>
      <c r="V24" s="2846"/>
    </row>
    <row r="25" spans="1:22" s="2947" customFormat="1" ht="13.2" customHeight="1">
      <c r="A25" s="2935"/>
      <c r="B25" s="2936"/>
      <c r="C25" s="2937"/>
      <c r="D25" s="2938"/>
      <c r="E25" s="2939"/>
      <c r="F25" s="2940"/>
      <c r="G25" s="2927"/>
      <c r="H25" s="2845"/>
      <c r="I25" s="2846"/>
      <c r="J25" s="2941">
        <v>4</v>
      </c>
      <c r="K25" s="2942" t="s">
        <v>2413</v>
      </c>
      <c r="L25" s="2943"/>
      <c r="M25" s="2943"/>
      <c r="N25" s="2943"/>
      <c r="O25" s="2943"/>
      <c r="P25" s="2944"/>
      <c r="Q25" s="2945">
        <v>0</v>
      </c>
      <c r="R25" s="2916">
        <f>ROUND(R14*Q25,0)</f>
        <v>0</v>
      </c>
      <c r="S25" s="2838"/>
      <c r="T25" s="2838"/>
      <c r="U25" s="2838"/>
      <c r="V25" s="2946"/>
    </row>
    <row r="26" spans="1:22" s="2947" customFormat="1" ht="13.2" customHeight="1">
      <c r="A26" s="2928">
        <v>2</v>
      </c>
      <c r="B26" s="2929" t="s">
        <v>2414</v>
      </c>
      <c r="C26" s="2930">
        <f>D7</f>
        <v>0</v>
      </c>
      <c r="D26" s="2931">
        <f>D23*D27</f>
        <v>0</v>
      </c>
      <c r="E26" s="2932">
        <f>E23*E27</f>
        <v>0</v>
      </c>
      <c r="F26" s="2933"/>
      <c r="G26" s="2934"/>
      <c r="H26" s="2845"/>
      <c r="I26" s="2846"/>
      <c r="J26" s="3674">
        <v>5</v>
      </c>
      <c r="K26" s="2948" t="s">
        <v>2415</v>
      </c>
      <c r="L26" s="2949"/>
      <c r="M26" s="2950"/>
      <c r="N26" s="2951" t="s">
        <v>2416</v>
      </c>
      <c r="O26" s="2951" t="s">
        <v>2417</v>
      </c>
      <c r="P26" s="2952" t="s">
        <v>2418</v>
      </c>
      <c r="Q26" s="2952" t="s">
        <v>2419</v>
      </c>
      <c r="R26" s="2855" t="s">
        <v>2344</v>
      </c>
      <c r="S26" s="2953"/>
      <c r="T26" s="2953"/>
      <c r="U26" s="2953"/>
      <c r="V26" s="2946"/>
    </row>
    <row r="27" spans="1:22" s="2850" customFormat="1" ht="13.2" customHeight="1">
      <c r="A27" s="2935"/>
      <c r="B27" s="2936" t="s">
        <v>2420</v>
      </c>
      <c r="C27" s="2954" t="e">
        <f>E7</f>
        <v>#DIV/0!</v>
      </c>
      <c r="D27" s="2938"/>
      <c r="E27" s="2939"/>
      <c r="F27" s="2940"/>
      <c r="G27" s="2934"/>
      <c r="H27" s="2955"/>
      <c r="I27" s="2946"/>
      <c r="J27" s="3675"/>
      <c r="K27" s="2956"/>
      <c r="L27" s="2957"/>
      <c r="M27" s="2958"/>
      <c r="N27" s="2959"/>
      <c r="O27" s="2959"/>
      <c r="P27" s="2959"/>
      <c r="Q27" s="2960"/>
      <c r="R27" s="2916">
        <f>ROUND(O27*N27*P27*(1-Q27)/10000,0)</f>
        <v>0</v>
      </c>
      <c r="S27" s="2838"/>
      <c r="T27" s="2838"/>
      <c r="U27" s="2838"/>
      <c r="V27" s="2846"/>
    </row>
    <row r="28" spans="1:22" s="2947" customFormat="1" ht="13.2" customHeight="1" thickBot="1">
      <c r="A28" s="2935"/>
      <c r="B28" s="2936"/>
      <c r="C28" s="2954"/>
      <c r="D28" s="2938"/>
      <c r="E28" s="2939" t="s">
        <v>2421</v>
      </c>
      <c r="F28" s="2940"/>
      <c r="G28" s="2927"/>
      <c r="H28" s="2955"/>
      <c r="I28" s="2946"/>
      <c r="J28" s="2961">
        <v>6</v>
      </c>
      <c r="K28" s="2962" t="s">
        <v>2422</v>
      </c>
      <c r="L28" s="2963" t="s">
        <v>2423</v>
      </c>
      <c r="M28" s="2964"/>
      <c r="N28" s="2963" t="s">
        <v>2424</v>
      </c>
      <c r="O28" s="2965"/>
      <c r="P28" s="2963" t="s">
        <v>2425</v>
      </c>
      <c r="Q28" s="2966">
        <v>1.4999999999999999E-2</v>
      </c>
      <c r="R28" s="2967"/>
      <c r="S28" s="2919"/>
      <c r="T28" s="2919"/>
      <c r="U28" s="2919"/>
      <c r="V28" s="2946"/>
    </row>
    <row r="29" spans="1:22" s="2947" customFormat="1" ht="13.2" customHeight="1">
      <c r="A29" s="2928">
        <v>3</v>
      </c>
      <c r="B29" s="2929" t="s">
        <v>2426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2" customHeight="1" thickBot="1">
      <c r="A30" s="2935"/>
      <c r="B30" s="2936" t="s">
        <v>2420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2" customHeight="1">
      <c r="A31" s="2935"/>
      <c r="B31" s="2936"/>
      <c r="C31" s="2969"/>
      <c r="D31" s="2968"/>
      <c r="E31" s="2899"/>
      <c r="F31" s="2940"/>
      <c r="G31" s="2927"/>
      <c r="H31" s="2955"/>
      <c r="I31" s="2946"/>
      <c r="J31" s="2835" t="s">
        <v>2427</v>
      </c>
      <c r="K31" s="2836"/>
      <c r="L31" s="2836"/>
      <c r="M31" s="2836"/>
      <c r="N31" s="2836"/>
      <c r="O31" s="2836"/>
      <c r="P31" s="2836"/>
      <c r="Q31" s="2836"/>
      <c r="R31" s="2837"/>
      <c r="S31" s="2919"/>
      <c r="T31" s="2838"/>
      <c r="U31" s="2838"/>
      <c r="V31" s="2946"/>
    </row>
    <row r="32" spans="1:22" s="2947" customFormat="1" ht="13.2" customHeight="1">
      <c r="A32" s="2928">
        <v>4</v>
      </c>
      <c r="B32" s="2929" t="s">
        <v>2428</v>
      </c>
      <c r="C32" s="2930">
        <f>C23-C26-C29</f>
        <v>0</v>
      </c>
      <c r="D32" s="2931">
        <f>D23-D26-D29</f>
        <v>0</v>
      </c>
      <c r="E32" s="2932">
        <f>E23-E26-E29</f>
        <v>0</v>
      </c>
      <c r="F32" s="2933"/>
      <c r="G32" s="2927"/>
      <c r="H32" s="2845"/>
      <c r="I32" s="2846"/>
      <c r="J32" s="3676" t="s">
        <v>2320</v>
      </c>
      <c r="K32" s="3677"/>
      <c r="L32" s="2847" t="s">
        <v>2321</v>
      </c>
      <c r="M32" s="2847" t="s">
        <v>2322</v>
      </c>
      <c r="N32" s="2847" t="s">
        <v>2323</v>
      </c>
      <c r="O32" s="2847" t="s">
        <v>2324</v>
      </c>
      <c r="P32" s="2847" t="s">
        <v>2325</v>
      </c>
      <c r="Q32" s="2848" t="s">
        <v>2326</v>
      </c>
      <c r="R32" s="2970" t="s">
        <v>2327</v>
      </c>
      <c r="S32" s="2919"/>
      <c r="T32" s="2838"/>
      <c r="U32" s="2838"/>
      <c r="V32" s="2946"/>
    </row>
    <row r="33" spans="1:23" s="2850" customFormat="1" ht="13.2" customHeight="1">
      <c r="A33" s="2928"/>
      <c r="B33" s="2929"/>
      <c r="C33" s="2930"/>
      <c r="D33" s="2971"/>
      <c r="E33" s="2972"/>
      <c r="F33" s="2933"/>
      <c r="G33" s="2927"/>
      <c r="H33" s="2955"/>
      <c r="I33" s="2946"/>
      <c r="J33" s="3678" t="s">
        <v>2330</v>
      </c>
      <c r="K33" s="3679"/>
      <c r="L33" s="2853"/>
      <c r="M33" s="2853"/>
      <c r="N33" s="2853"/>
      <c r="O33" s="2853"/>
      <c r="P33" s="2853"/>
      <c r="Q33" s="2854"/>
      <c r="R33" s="2973">
        <f>SUM(L33:Q33)</f>
        <v>0</v>
      </c>
      <c r="S33" s="2919"/>
      <c r="T33" s="2838"/>
      <c r="U33" s="2838"/>
      <c r="V33" s="2846"/>
    </row>
    <row r="34" spans="1:23" s="2850" customFormat="1" ht="13.2" customHeight="1">
      <c r="A34" s="2928">
        <v>5</v>
      </c>
      <c r="B34" s="2929" t="s">
        <v>2429</v>
      </c>
      <c r="C34" s="2974"/>
      <c r="D34" s="2975"/>
      <c r="E34" s="2976"/>
      <c r="F34" s="2933"/>
      <c r="G34" s="2927"/>
      <c r="H34" s="2955"/>
      <c r="I34" s="2946"/>
      <c r="J34" s="3678" t="s">
        <v>2332</v>
      </c>
      <c r="K34" s="3679"/>
      <c r="L34" s="2858"/>
      <c r="M34" s="2858"/>
      <c r="N34" s="2858"/>
      <c r="O34" s="2858"/>
      <c r="P34" s="2858"/>
      <c r="Q34" s="2859"/>
      <c r="R34" s="2977">
        <f>SUM(L34:Q34)</f>
        <v>0</v>
      </c>
      <c r="S34" s="2919"/>
      <c r="T34" s="2838"/>
      <c r="U34" s="2838" t="e">
        <f>ROUND(R35*10000/365/R33,1)</f>
        <v>#DIV/0!</v>
      </c>
      <c r="V34" s="2846"/>
    </row>
    <row r="35" spans="1:23" s="2850" customFormat="1" ht="13.2" customHeight="1">
      <c r="A35" s="2928">
        <v>6</v>
      </c>
      <c r="B35" s="2929" t="s">
        <v>2430</v>
      </c>
      <c r="C35" s="2978"/>
      <c r="D35" s="2979"/>
      <c r="E35" s="2980"/>
      <c r="F35" s="2933"/>
      <c r="G35" s="2981"/>
      <c r="H35" s="2845"/>
      <c r="I35" s="2946"/>
      <c r="J35" s="2864" t="s">
        <v>2334</v>
      </c>
      <c r="K35" s="2865"/>
      <c r="L35" s="2865"/>
      <c r="M35" s="2866"/>
      <c r="N35" s="2866"/>
      <c r="O35" s="2866"/>
      <c r="P35" s="2866"/>
      <c r="Q35" s="2866"/>
      <c r="R35" s="2982">
        <f>R40+R41+R43</f>
        <v>0</v>
      </c>
      <c r="S35" s="2919"/>
      <c r="T35" s="2838" t="s">
        <v>2335</v>
      </c>
      <c r="U35" s="2838"/>
      <c r="V35" s="2846"/>
    </row>
    <row r="36" spans="1:23" s="2850" customFormat="1" ht="13.2" customHeight="1" thickBot="1">
      <c r="A36" s="2928">
        <v>7</v>
      </c>
      <c r="B36" s="2983" t="s">
        <v>2431</v>
      </c>
      <c r="C36" s="2984"/>
      <c r="D36" s="2985"/>
      <c r="E36" s="2986"/>
      <c r="F36" s="2987">
        <f>C36+D36+E36</f>
        <v>0</v>
      </c>
      <c r="G36" s="2927"/>
      <c r="H36" s="2845"/>
      <c r="I36" s="2846"/>
      <c r="J36" s="3670">
        <v>1</v>
      </c>
      <c r="K36" s="3671" t="s">
        <v>2432</v>
      </c>
      <c r="L36" s="2871"/>
      <c r="M36" s="2872"/>
      <c r="N36" s="2872"/>
      <c r="O36" s="2872"/>
      <c r="P36" s="2872"/>
      <c r="Q36" s="2872"/>
      <c r="R36" s="2855" t="s">
        <v>2344</v>
      </c>
      <c r="S36" s="2919"/>
      <c r="T36" s="2838" t="s">
        <v>2345</v>
      </c>
      <c r="U36" s="2838"/>
      <c r="V36" s="2846"/>
    </row>
    <row r="37" spans="1:23" s="2850" customFormat="1" ht="13.2" customHeight="1">
      <c r="A37" s="2928"/>
      <c r="B37" s="2929"/>
      <c r="C37" s="2929"/>
      <c r="D37" s="2929"/>
      <c r="E37" s="2929"/>
      <c r="F37" s="2933"/>
      <c r="G37" s="2927"/>
      <c r="H37" s="2845"/>
      <c r="I37" s="2846"/>
      <c r="J37" s="3670"/>
      <c r="K37" s="3672"/>
      <c r="L37" s="2880"/>
      <c r="M37" s="2881"/>
      <c r="N37" s="2857"/>
      <c r="O37" s="2882"/>
      <c r="P37" s="2882"/>
      <c r="Q37" s="2883"/>
      <c r="R37" s="2884"/>
      <c r="S37" s="2919"/>
      <c r="T37" s="2838" t="s">
        <v>2348</v>
      </c>
      <c r="U37" s="2838"/>
      <c r="V37" s="2846"/>
    </row>
    <row r="38" spans="1:23" s="2850" customFormat="1" ht="13.2" customHeight="1">
      <c r="A38" s="2928">
        <v>8</v>
      </c>
      <c r="B38" s="2929"/>
      <c r="C38" s="2886" t="e">
        <f>ROUND(C32*(1-((1+C35)/(1+C34))^C36)/(C34-C35),0)</f>
        <v>#DIV/0!</v>
      </c>
      <c r="D38" s="2886">
        <f>IF(D23=0,0,ROUND(D32*(1-((1+D35)/(1+D34))^D36)/(D34-D35),0))</f>
        <v>0</v>
      </c>
      <c r="E38" s="2886">
        <f>IF(E23=0,0,ROUND(E32*(1-((1+E35)/(1+E34))^E36)/(E34-E35),0))</f>
        <v>0</v>
      </c>
      <c r="F38" s="2933"/>
      <c r="G38" s="2927"/>
      <c r="H38" s="2845"/>
      <c r="I38" s="2846"/>
      <c r="J38" s="3670"/>
      <c r="K38" s="3672"/>
      <c r="L38" s="2880"/>
      <c r="M38" s="2881"/>
      <c r="N38" s="2857"/>
      <c r="O38" s="2882"/>
      <c r="P38" s="2882"/>
      <c r="Q38" s="2883"/>
      <c r="R38" s="2884"/>
      <c r="S38" s="2919"/>
      <c r="T38" s="2838" t="s">
        <v>2355</v>
      </c>
      <c r="U38" s="2838"/>
      <c r="V38" s="2846"/>
    </row>
    <row r="39" spans="1:23" s="2850" customFormat="1" ht="13.2" customHeight="1">
      <c r="A39" s="2928">
        <v>9</v>
      </c>
      <c r="B39" s="2929" t="s">
        <v>2433</v>
      </c>
      <c r="C39" s="2894" t="e">
        <f>C38</f>
        <v>#DIV/0!</v>
      </c>
      <c r="D39" s="2929">
        <f>D38/(1+D34)^C36</f>
        <v>0</v>
      </c>
      <c r="E39" s="2929">
        <f>E38/(1+E34)^(C36+D36)</f>
        <v>0</v>
      </c>
      <c r="F39" s="2933"/>
      <c r="G39" s="2988"/>
      <c r="H39" s="2845"/>
      <c r="I39" s="2846"/>
      <c r="J39" s="3670"/>
      <c r="K39" s="3672"/>
      <c r="L39" s="2880"/>
      <c r="M39" s="2881"/>
      <c r="N39" s="2857"/>
      <c r="O39" s="2882"/>
      <c r="P39" s="2882"/>
      <c r="Q39" s="2883"/>
      <c r="R39" s="2884"/>
      <c r="S39" s="2919"/>
      <c r="T39" s="2838"/>
      <c r="U39" s="2838"/>
      <c r="V39" s="2846"/>
    </row>
    <row r="40" spans="1:23" s="2850" customFormat="1" ht="13.2" customHeight="1">
      <c r="A40" s="2989">
        <v>10</v>
      </c>
      <c r="B40" s="2929" t="s">
        <v>2434</v>
      </c>
      <c r="C40" s="2990" t="e">
        <f>C39+D39+E39</f>
        <v>#DIV/0!</v>
      </c>
      <c r="D40" s="2991"/>
      <c r="E40" s="2991"/>
      <c r="F40" s="2992"/>
      <c r="G40" s="2927"/>
      <c r="H40" s="2845"/>
      <c r="I40" s="2846"/>
      <c r="J40" s="3670"/>
      <c r="K40" s="3673"/>
      <c r="L40" s="2900" t="s">
        <v>2373</v>
      </c>
      <c r="M40" s="2901"/>
      <c r="N40" s="2901"/>
      <c r="O40" s="2902"/>
      <c r="P40" s="2902"/>
      <c r="Q40" s="2903"/>
      <c r="R40" s="2849">
        <f>SUM(R37:R39)</f>
        <v>0</v>
      </c>
      <c r="S40" s="2919"/>
      <c r="T40" s="2838"/>
      <c r="U40" s="2838"/>
      <c r="V40" s="2846"/>
    </row>
    <row r="41" spans="1:23" s="2850" customFormat="1" ht="13.2" customHeight="1" thickBot="1">
      <c r="A41" s="2993">
        <v>11</v>
      </c>
      <c r="B41" s="2994" t="s">
        <v>2435</v>
      </c>
      <c r="C41" s="2994" t="e">
        <f>ROUND(C40*10000/B4,0)</f>
        <v>#DIV/0!</v>
      </c>
      <c r="D41" s="2995"/>
      <c r="E41" s="2995"/>
      <c r="F41" s="2996"/>
      <c r="G41" s="2997"/>
      <c r="H41" s="2845"/>
      <c r="I41" s="2846"/>
      <c r="J41" s="2941">
        <v>2</v>
      </c>
      <c r="K41" s="2942" t="s">
        <v>2413</v>
      </c>
      <c r="L41" s="2943"/>
      <c r="M41" s="2943"/>
      <c r="N41" s="2943"/>
      <c r="O41" s="2943"/>
      <c r="P41" s="2944"/>
      <c r="Q41" s="2945"/>
      <c r="R41" s="2916">
        <f>ROUND(R40*Q41,0)</f>
        <v>0</v>
      </c>
      <c r="S41" s="2919"/>
      <c r="T41" s="2838"/>
      <c r="U41" s="2953"/>
      <c r="V41" s="2846"/>
    </row>
    <row r="42" spans="1:23" s="2850" customFormat="1" ht="13.2" customHeight="1">
      <c r="G42" s="2997"/>
      <c r="H42" s="2845"/>
      <c r="I42" s="2846"/>
      <c r="J42" s="3674">
        <v>3</v>
      </c>
      <c r="K42" s="2948" t="s">
        <v>2415</v>
      </c>
      <c r="L42" s="2949"/>
      <c r="M42" s="2950"/>
      <c r="N42" s="2951" t="s">
        <v>2416</v>
      </c>
      <c r="O42" s="2951" t="s">
        <v>2417</v>
      </c>
      <c r="P42" s="2952" t="s">
        <v>2418</v>
      </c>
      <c r="Q42" s="2952" t="s">
        <v>2419</v>
      </c>
      <c r="R42" s="2855" t="s">
        <v>2344</v>
      </c>
      <c r="S42" s="2953"/>
      <c r="T42" s="2953"/>
      <c r="U42" s="2838"/>
      <c r="V42" s="2846"/>
    </row>
    <row r="43" spans="1:23" ht="13.2" customHeight="1">
      <c r="A43" s="2850"/>
      <c r="B43" s="2850"/>
      <c r="C43" s="2850"/>
      <c r="D43" s="2850"/>
      <c r="E43" s="2850"/>
      <c r="F43" s="2850"/>
      <c r="I43" s="2833"/>
      <c r="J43" s="3675"/>
      <c r="K43" s="2956"/>
      <c r="L43" s="2957"/>
      <c r="M43" s="2958"/>
      <c r="N43" s="2881"/>
      <c r="O43" s="2881"/>
      <c r="P43" s="2881"/>
      <c r="Q43" s="2945"/>
      <c r="R43" s="2916">
        <f>ROUND(O43*N43*P43*(1-Q43)/10000,0)</f>
        <v>0</v>
      </c>
      <c r="S43" s="2919"/>
      <c r="T43" s="2838"/>
      <c r="V43" s="2999"/>
      <c r="W43" s="3000"/>
    </row>
    <row r="44" spans="1:23" ht="13.2" customHeight="1" thickBot="1">
      <c r="J44" s="2961">
        <v>6</v>
      </c>
      <c r="K44" s="2962" t="s">
        <v>2422</v>
      </c>
      <c r="L44" s="3001" t="s">
        <v>2423</v>
      </c>
      <c r="M44" s="2964"/>
      <c r="N44" s="3001" t="s">
        <v>2424</v>
      </c>
      <c r="O44" s="2964"/>
      <c r="P44" s="3001" t="s">
        <v>2425</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4" customWidth="1"/>
    <col min="2" max="2" width="12" style="1474" customWidth="1"/>
    <col min="3" max="3" width="9" style="1474"/>
    <col min="4" max="4" width="14.109375" style="1474" customWidth="1"/>
    <col min="5" max="5" width="9" style="1474"/>
    <col min="6" max="6" width="12.88671875" style="1474" customWidth="1"/>
    <col min="7" max="16384" width="9" style="1474"/>
  </cols>
  <sheetData>
    <row r="1" spans="1:22" ht="21.6">
      <c r="A1" s="1864" t="s">
        <v>1658</v>
      </c>
      <c r="B1" s="1865"/>
      <c r="C1" s="1865"/>
      <c r="D1" s="1865"/>
      <c r="E1" s="1866"/>
      <c r="F1" s="2704"/>
      <c r="G1" s="1486"/>
      <c r="H1" s="1486"/>
      <c r="I1" s="1486"/>
      <c r="J1" s="1486"/>
      <c r="K1" s="1486"/>
      <c r="L1" s="1486"/>
      <c r="M1" s="1486"/>
      <c r="N1" s="1486"/>
      <c r="O1" s="1486"/>
      <c r="P1" s="1486"/>
      <c r="Q1" s="1486"/>
      <c r="R1" s="1486"/>
      <c r="S1" s="1486"/>
    </row>
    <row r="2" spans="1:22" ht="15.6">
      <c r="A2" s="1867" t="s">
        <v>1462</v>
      </c>
      <c r="B2" s="1868">
        <f ca="1">SUMIF(B6:B13,"&lt;&gt;#ref!",B6:B13)</f>
        <v>2758</v>
      </c>
      <c r="C2" s="1869" t="s">
        <v>1651</v>
      </c>
      <c r="D2" s="1870" t="s">
        <v>1652</v>
      </c>
      <c r="E2" s="2604">
        <f>SUM(E6:E13)</f>
        <v>204.38</v>
      </c>
      <c r="F2" s="2704"/>
      <c r="G2" s="1486"/>
      <c r="H2" s="1486"/>
      <c r="I2" s="1486"/>
      <c r="J2" s="1486"/>
      <c r="K2" s="1486"/>
      <c r="L2" s="1486"/>
      <c r="M2" s="1486"/>
      <c r="N2" s="1486"/>
      <c r="O2" s="1486"/>
      <c r="P2" s="1486"/>
      <c r="Q2" s="1486"/>
      <c r="R2" s="1486"/>
      <c r="S2" s="1486"/>
    </row>
    <row r="3" spans="1:22" ht="15.6">
      <c r="A3" s="1867" t="s">
        <v>686</v>
      </c>
      <c r="B3" s="2598">
        <f ca="1">ROUND(B2*10000/E2,0)</f>
        <v>134945</v>
      </c>
      <c r="C3" s="1869" t="s">
        <v>1659</v>
      </c>
      <c r="D3" s="2706"/>
      <c r="E3" s="2708"/>
      <c r="F3" s="2704"/>
      <c r="G3" s="1486"/>
      <c r="H3" s="1486"/>
      <c r="I3" s="1486"/>
      <c r="J3" s="1486"/>
      <c r="K3" s="1486"/>
      <c r="L3" s="1486"/>
      <c r="M3" s="1486"/>
      <c r="N3" s="1486"/>
      <c r="O3" s="1486"/>
      <c r="P3" s="1486"/>
      <c r="Q3" s="1486"/>
      <c r="R3" s="1486"/>
      <c r="S3" s="1486"/>
    </row>
    <row r="4" spans="1:22" ht="15.6">
      <c r="A4" s="2709"/>
      <c r="B4" s="2706"/>
      <c r="C4" s="2706"/>
      <c r="D4" s="2706"/>
      <c r="E4" s="2708"/>
      <c r="F4" s="2704"/>
      <c r="G4" s="1486"/>
      <c r="H4" s="1486"/>
      <c r="I4" s="1486"/>
      <c r="J4" s="1486"/>
      <c r="K4" s="1486"/>
      <c r="L4" s="1486"/>
      <c r="M4" s="1486"/>
      <c r="N4" s="1486"/>
      <c r="O4" s="1486"/>
      <c r="P4" s="1486"/>
      <c r="Q4" s="1486"/>
      <c r="R4" s="1486"/>
      <c r="S4" s="1486"/>
    </row>
    <row r="5" spans="1:22" ht="14.4">
      <c r="A5" s="2600" t="s">
        <v>1653</v>
      </c>
      <c r="B5" s="3689" t="s">
        <v>1654</v>
      </c>
      <c r="C5" s="3690"/>
      <c r="D5" s="2705"/>
      <c r="E5" s="1871" t="s">
        <v>1655</v>
      </c>
      <c r="F5" s="1872" t="s">
        <v>1656</v>
      </c>
      <c r="G5" s="1486"/>
      <c r="H5" s="1486"/>
      <c r="I5" s="1486"/>
      <c r="J5" s="1486"/>
      <c r="K5" s="1486"/>
      <c r="L5" s="1486"/>
      <c r="M5" s="1486"/>
      <c r="N5" s="1486"/>
      <c r="O5" s="1486"/>
      <c r="P5" s="1486"/>
      <c r="Q5" s="1486"/>
      <c r="R5" s="1486"/>
      <c r="S5" s="1486"/>
    </row>
    <row r="6" spans="1:22" ht="14.4">
      <c r="A6" s="2601" t="str">
        <f>'数据-取费表'!AN6</f>
        <v>收益法</v>
      </c>
      <c r="B6" s="2599">
        <f ca="1">IF(F6="是",'数据-取费表'!AO6,0)</f>
        <v>2758</v>
      </c>
      <c r="C6" s="1869" t="s">
        <v>1651</v>
      </c>
      <c r="D6" s="2706"/>
      <c r="E6" s="2603">
        <f>IF(OR(A6=0,F6="否"),0,'数据-取费表'!K6+'数据-取费表'!S6)</f>
        <v>204.38</v>
      </c>
      <c r="F6" s="1873" t="s">
        <v>1657</v>
      </c>
      <c r="G6" s="1486"/>
      <c r="H6" s="1486"/>
      <c r="I6" s="1486"/>
      <c r="J6" s="1486"/>
      <c r="K6" s="1486"/>
      <c r="L6" s="1486"/>
      <c r="M6" s="1486"/>
      <c r="N6" s="1486"/>
      <c r="O6" s="1486"/>
      <c r="P6" s="1486"/>
      <c r="Q6" s="1486"/>
      <c r="R6" s="1486"/>
      <c r="S6" s="1486"/>
    </row>
    <row r="7" spans="1:22" ht="14.4">
      <c r="A7" s="2601">
        <f>'数据-取费表'!AN7</f>
        <v>0</v>
      </c>
      <c r="B7" s="2599" t="e">
        <f ca="1">IF(F7="是",'数据-取费表'!AO7,0)</f>
        <v>#REF!</v>
      </c>
      <c r="C7" s="1869" t="s">
        <v>1651</v>
      </c>
      <c r="D7" s="2706"/>
      <c r="E7" s="2603">
        <f>IF(OR(A7=0,F7="否"),0,'数据-取费表'!K7+'数据-取费表'!S7)</f>
        <v>0</v>
      </c>
      <c r="F7" s="1873" t="s">
        <v>1657</v>
      </c>
      <c r="G7" s="1486"/>
      <c r="H7" s="1486"/>
      <c r="I7" s="1486"/>
      <c r="J7" s="1486"/>
      <c r="K7" s="1486"/>
      <c r="L7" s="1486"/>
      <c r="M7" s="1486"/>
      <c r="N7" s="1486"/>
      <c r="O7" s="1486"/>
      <c r="P7" s="1486"/>
      <c r="Q7" s="1486"/>
      <c r="R7" s="1486"/>
      <c r="S7" s="1486"/>
    </row>
    <row r="8" spans="1:22" ht="14.4">
      <c r="A8" s="2601">
        <f>'数据-取费表'!AN8</f>
        <v>0</v>
      </c>
      <c r="B8" s="2599" t="e">
        <f ca="1">IF(F8="是",'数据-取费表'!AO8,0)</f>
        <v>#REF!</v>
      </c>
      <c r="C8" s="1869" t="s">
        <v>1651</v>
      </c>
      <c r="D8" s="2706"/>
      <c r="E8" s="2603">
        <f>IF(OR(A8=0,F8="否"),0,'数据-取费表'!K8+'数据-取费表'!S8)</f>
        <v>0</v>
      </c>
      <c r="F8" s="1873" t="s">
        <v>1657</v>
      </c>
      <c r="G8" s="1486"/>
      <c r="H8" s="1486"/>
      <c r="I8" s="1486"/>
      <c r="J8" s="1486"/>
      <c r="K8" s="1486"/>
      <c r="L8" s="1486"/>
      <c r="M8" s="1486"/>
      <c r="N8" s="1486"/>
      <c r="O8" s="1486"/>
      <c r="P8" s="1486"/>
      <c r="Q8" s="1486"/>
      <c r="R8" s="1486"/>
      <c r="S8" s="1486"/>
    </row>
    <row r="9" spans="1:22" ht="14.4">
      <c r="A9" s="2601">
        <f>'数据-取费表'!AN9</f>
        <v>0</v>
      </c>
      <c r="B9" s="2599" t="e">
        <f ca="1">IF(F9="是",'数据-取费表'!AO9,0)</f>
        <v>#REF!</v>
      </c>
      <c r="C9" s="1869" t="s">
        <v>1651</v>
      </c>
      <c r="D9" s="2706"/>
      <c r="E9" s="2603">
        <f>IF(OR(A9=0,F9="否"),0,'数据-取费表'!K9+'数据-取费表'!S9)</f>
        <v>0</v>
      </c>
      <c r="F9" s="1873" t="s">
        <v>1657</v>
      </c>
      <c r="G9" s="1486"/>
      <c r="H9" s="1486"/>
      <c r="I9" s="1486"/>
      <c r="J9" s="1486"/>
      <c r="K9" s="1486"/>
      <c r="L9" s="1486"/>
      <c r="M9" s="1486"/>
      <c r="N9" s="1486"/>
      <c r="O9" s="1486"/>
      <c r="P9" s="1486"/>
      <c r="Q9" s="1486"/>
      <c r="R9" s="1486"/>
      <c r="S9" s="1486"/>
    </row>
    <row r="10" spans="1:22" ht="14.4">
      <c r="A10" s="2601">
        <f>'数据-取费表'!AN10</f>
        <v>0</v>
      </c>
      <c r="B10" s="2599" t="e">
        <f ca="1">IF(F10="是",'数据-取费表'!AO10,0)</f>
        <v>#REF!</v>
      </c>
      <c r="C10" s="1869" t="s">
        <v>1651</v>
      </c>
      <c r="D10" s="2706"/>
      <c r="E10" s="2603">
        <f>IF(OR(A10=0,F10="否"),0,'数据-取费表'!K10+'数据-取费表'!S10)</f>
        <v>0</v>
      </c>
      <c r="F10" s="1873" t="s">
        <v>1657</v>
      </c>
      <c r="G10" s="1486"/>
      <c r="H10" s="1486"/>
      <c r="I10" s="1486"/>
      <c r="J10" s="1486"/>
      <c r="K10" s="1486"/>
      <c r="L10" s="1486"/>
      <c r="M10" s="1486"/>
      <c r="N10" s="1486"/>
      <c r="O10" s="1486"/>
      <c r="P10" s="1486"/>
      <c r="Q10" s="1486"/>
      <c r="R10" s="1486"/>
      <c r="S10" s="1486"/>
    </row>
    <row r="11" spans="1:22" ht="14.4">
      <c r="A11" s="2601">
        <f>'数据-取费表'!AN11</f>
        <v>0</v>
      </c>
      <c r="B11" s="2599" t="e">
        <f ca="1">IF(F11="是",'数据-取费表'!AO11,0)</f>
        <v>#REF!</v>
      </c>
      <c r="C11" s="1869" t="s">
        <v>1651</v>
      </c>
      <c r="D11" s="2706"/>
      <c r="E11" s="2603">
        <f>IF(OR(A11=0,F11="否"),0,'数据-取费表'!K11+'数据-取费表'!S11)</f>
        <v>0</v>
      </c>
      <c r="F11" s="1873" t="s">
        <v>1657</v>
      </c>
      <c r="G11" s="1486"/>
      <c r="H11" s="1486"/>
      <c r="I11" s="1486"/>
      <c r="J11" s="1486"/>
      <c r="K11" s="1486"/>
      <c r="L11" s="1486"/>
      <c r="M11" s="1486"/>
      <c r="N11" s="1486"/>
      <c r="O11" s="1486"/>
      <c r="P11" s="1486"/>
      <c r="Q11" s="1486"/>
      <c r="R11" s="1486"/>
      <c r="S11" s="1486"/>
    </row>
    <row r="12" spans="1:22" ht="14.4">
      <c r="A12" s="2601">
        <f>'数据-取费表'!AN12</f>
        <v>0</v>
      </c>
      <c r="B12" s="2599" t="e">
        <f ca="1">IF(F12="是",'数据-取费表'!AO12,0)</f>
        <v>#REF!</v>
      </c>
      <c r="C12" s="1869" t="s">
        <v>1651</v>
      </c>
      <c r="D12" s="2706"/>
      <c r="E12" s="2603">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1651</v>
      </c>
      <c r="D13" s="2707"/>
      <c r="E13" s="2603">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D1" sqref="D1:F1"/>
    </sheetView>
  </sheetViews>
  <sheetFormatPr defaultColWidth="9" defaultRowHeight="13.8"/>
  <cols>
    <col min="1" max="1" width="10.44140625" style="355" customWidth="1"/>
    <col min="2" max="3" width="15.77734375" style="355" customWidth="1"/>
    <col min="4" max="4" width="12.21875" style="355" customWidth="1"/>
    <col min="5" max="5" width="17.109375" style="355" customWidth="1"/>
    <col min="6" max="6" width="12.21875" style="355" customWidth="1"/>
    <col min="7" max="7" width="16.44140625" style="355" customWidth="1"/>
    <col min="8" max="8" width="12.21875" style="355" customWidth="1"/>
    <col min="9" max="9" width="15.6640625" style="355" customWidth="1"/>
    <col min="10" max="10" width="12.21875" style="355" customWidth="1"/>
    <col min="11" max="11" width="12.21875" style="442" customWidth="1"/>
    <col min="12" max="12" width="12.21875" style="443" customWidth="1"/>
    <col min="13" max="15" width="12.21875" style="355" customWidth="1"/>
    <col min="16" max="16" width="4.77734375" style="1913" customWidth="1"/>
    <col min="17" max="17" width="19.44140625" style="355" customWidth="1"/>
    <col min="18" max="22" width="6.109375" style="355" customWidth="1"/>
    <col min="23" max="23" width="5.77734375" style="355" customWidth="1"/>
    <col min="24" max="24" width="4.21875" style="355" customWidth="1"/>
    <col min="25" max="25" width="3.44140625" style="355" customWidth="1"/>
    <col min="26" max="26" width="19.77734375" style="355" customWidth="1"/>
    <col min="27" max="28" width="9.33203125" style="355" customWidth="1"/>
    <col min="29" max="16384" width="9" style="355"/>
  </cols>
  <sheetData>
    <row r="1" spans="1:29" s="1230" customFormat="1" ht="28.5" customHeight="1" thickBot="1">
      <c r="A1" s="1219" t="s">
        <v>1660</v>
      </c>
      <c r="B1" s="1875" t="s">
        <v>1661</v>
      </c>
      <c r="C1" s="1235" t="s">
        <v>1662</v>
      </c>
      <c r="D1" s="1222"/>
      <c r="E1" s="3425"/>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5" customFormat="1" ht="28.5" customHeight="1" thickTop="1">
      <c r="A2" s="1218" t="s">
        <v>685</v>
      </c>
      <c r="B2" s="3426"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10"/>
      <c r="M2" s="2711"/>
      <c r="N2" s="2711"/>
      <c r="O2" s="2711"/>
      <c r="P2" s="1882"/>
      <c r="Q2" s="1883"/>
      <c r="R2" s="1883"/>
      <c r="S2" s="1883"/>
      <c r="T2" s="1883"/>
      <c r="U2" s="1883"/>
      <c r="V2" s="1883"/>
      <c r="W2" s="1883"/>
      <c r="X2" s="1883"/>
      <c r="Y2" s="1883"/>
      <c r="Z2" s="1883"/>
      <c r="AA2" s="1883"/>
      <c r="AB2" s="1883"/>
      <c r="AC2" s="1884"/>
    </row>
    <row r="3" spans="1:29" s="345" customFormat="1" ht="28.5" customHeight="1" thickBot="1">
      <c r="A3" s="201" t="s">
        <v>686</v>
      </c>
      <c r="B3" s="351">
        <f>IF(C2="——",C49,ROUND(B2*10000/D3,0))</f>
        <v>0</v>
      </c>
      <c r="C3" s="352" t="s">
        <v>1665</v>
      </c>
      <c r="D3" s="351">
        <f>IF(D1="",'数据-汇总表'!E3,SUMIF('数据-汇总表'!$C19:$C33,D1,'数据-汇总表'!$E19:$E33))</f>
        <v>204.38</v>
      </c>
      <c r="E3" s="904"/>
      <c r="F3" s="1885"/>
      <c r="G3" s="904"/>
      <c r="H3" s="904"/>
      <c r="I3" s="904"/>
      <c r="J3" s="904"/>
      <c r="K3" s="1881"/>
      <c r="L3" s="2710"/>
      <c r="M3" s="2711"/>
      <c r="N3" s="2711"/>
      <c r="O3" s="2711"/>
      <c r="P3" s="1882"/>
      <c r="Q3" s="1883"/>
      <c r="R3" s="1883"/>
      <c r="S3" s="1883"/>
      <c r="T3" s="1883"/>
      <c r="U3" s="1883"/>
      <c r="V3" s="1883"/>
      <c r="W3" s="1883"/>
      <c r="X3" s="1883"/>
      <c r="Y3" s="1883"/>
      <c r="Z3" s="1883"/>
      <c r="AA3" s="1883"/>
      <c r="AB3" s="1883"/>
      <c r="AC3" s="1058"/>
    </row>
    <row r="4" spans="1:29" ht="14.4">
      <c r="A4" s="353" t="s">
        <v>1666</v>
      </c>
      <c r="B4" s="354"/>
      <c r="C4" s="3709" t="s">
        <v>1667</v>
      </c>
      <c r="D4" s="3710"/>
      <c r="E4" s="3711" t="s">
        <v>1668</v>
      </c>
      <c r="F4" s="3712"/>
      <c r="G4" s="3709" t="s">
        <v>1669</v>
      </c>
      <c r="H4" s="3710"/>
      <c r="I4" s="3709" t="s">
        <v>1670</v>
      </c>
      <c r="J4" s="3710"/>
      <c r="K4" s="1886" t="s">
        <v>1671</v>
      </c>
      <c r="L4" s="2712"/>
      <c r="M4" s="2713"/>
      <c r="N4" s="2713"/>
      <c r="O4" s="2713"/>
      <c r="P4" s="3713" t="s">
        <v>1672</v>
      </c>
      <c r="Q4" s="3714"/>
      <c r="R4" s="3719" t="s">
        <v>1668</v>
      </c>
      <c r="S4" s="3720"/>
      <c r="T4" s="3719" t="s">
        <v>1669</v>
      </c>
      <c r="U4" s="3720"/>
      <c r="V4" s="3725" t="s">
        <v>1670</v>
      </c>
      <c r="W4" s="3725"/>
      <c r="X4" s="1352"/>
      <c r="Y4" s="3719" t="s">
        <v>1672</v>
      </c>
      <c r="Z4" s="3720"/>
      <c r="AA4" s="3706" t="s">
        <v>1668</v>
      </c>
      <c r="AB4" s="3706" t="s">
        <v>1669</v>
      </c>
      <c r="AC4" s="3706" t="s">
        <v>1670</v>
      </c>
    </row>
    <row r="5" spans="1:29">
      <c r="A5" s="356"/>
      <c r="B5" s="357"/>
      <c r="C5" s="3728" t="s">
        <v>1673</v>
      </c>
      <c r="D5" s="3729"/>
      <c r="E5" s="3735" t="s">
        <v>1674</v>
      </c>
      <c r="F5" s="3736"/>
      <c r="G5" s="3728" t="s">
        <v>1675</v>
      </c>
      <c r="H5" s="3729"/>
      <c r="I5" s="3728" t="s">
        <v>1676</v>
      </c>
      <c r="J5" s="3729"/>
      <c r="K5" s="1887"/>
      <c r="L5" s="2712"/>
      <c r="M5" s="2713"/>
      <c r="N5" s="2713"/>
      <c r="O5" s="2713"/>
      <c r="P5" s="3715"/>
      <c r="Q5" s="3716"/>
      <c r="R5" s="3721"/>
      <c r="S5" s="3722"/>
      <c r="T5" s="3721"/>
      <c r="U5" s="3722"/>
      <c r="V5" s="3725"/>
      <c r="W5" s="3725"/>
      <c r="X5" s="1352"/>
      <c r="Y5" s="3721"/>
      <c r="Z5" s="3722"/>
      <c r="AA5" s="3707"/>
      <c r="AB5" s="3707"/>
      <c r="AC5" s="3707"/>
    </row>
    <row r="6" spans="1:29" ht="15" thickBot="1">
      <c r="A6" s="358"/>
      <c r="B6" s="359"/>
      <c r="C6" s="3726" t="s">
        <v>1677</v>
      </c>
      <c r="D6" s="3727"/>
      <c r="E6" s="3733" t="s">
        <v>1677</v>
      </c>
      <c r="F6" s="3734"/>
      <c r="G6" s="3726" t="s">
        <v>1677</v>
      </c>
      <c r="H6" s="3727"/>
      <c r="I6" s="3726" t="s">
        <v>1677</v>
      </c>
      <c r="J6" s="3727"/>
      <c r="K6" s="1887" t="s">
        <v>1678</v>
      </c>
      <c r="L6" s="2712"/>
      <c r="M6" s="2713"/>
      <c r="N6" s="2713"/>
      <c r="O6" s="2713"/>
      <c r="P6" s="3717"/>
      <c r="Q6" s="3718"/>
      <c r="R6" s="3721"/>
      <c r="S6" s="3722"/>
      <c r="T6" s="3723"/>
      <c r="U6" s="3724"/>
      <c r="V6" s="3725"/>
      <c r="W6" s="3725"/>
      <c r="X6" s="1352"/>
      <c r="Y6" s="3723"/>
      <c r="Z6" s="3724"/>
      <c r="AA6" s="3708"/>
      <c r="AB6" s="3708"/>
      <c r="AC6" s="3708"/>
    </row>
    <row r="7" spans="1:29" s="107" customFormat="1" ht="15" thickBot="1">
      <c r="A7" s="360" t="s">
        <v>1679</v>
      </c>
      <c r="B7" s="361"/>
      <c r="C7" s="362">
        <f>'数据-取费表'!B2</f>
        <v>44917</v>
      </c>
      <c r="D7" s="363">
        <v>100</v>
      </c>
      <c r="E7" s="364"/>
      <c r="F7" s="365">
        <f>SUMIF(58:58,YEAR(E7)&amp;"-"&amp;MONTH(E7),59:59)</f>
        <v>0</v>
      </c>
      <c r="G7" s="364"/>
      <c r="H7" s="363">
        <f>SUMIF(58:58,YEAR(G7)&amp;"-"&amp;MONTH(G7),59:59)</f>
        <v>0</v>
      </c>
      <c r="I7" s="364"/>
      <c r="J7" s="363">
        <f>SUMIF(58:58,YEAR(I7)&amp;"-"&amp;MONTH(I7),59:59)</f>
        <v>0</v>
      </c>
      <c r="K7" s="1888"/>
      <c r="L7" s="2714"/>
      <c r="M7" s="2715"/>
      <c r="N7" s="2715"/>
      <c r="O7" s="2715"/>
      <c r="P7" s="3730" t="s">
        <v>1680</v>
      </c>
      <c r="Q7" s="3732"/>
      <c r="R7" s="699" t="s">
        <v>20</v>
      </c>
      <c r="S7" s="700">
        <f t="shared" ref="S7:S15" si="0">F7</f>
        <v>0</v>
      </c>
      <c r="T7" s="699" t="s">
        <v>20</v>
      </c>
      <c r="U7" s="700">
        <f t="shared" ref="U7:U15" si="1">H7</f>
        <v>0</v>
      </c>
      <c r="V7" s="699" t="s">
        <v>20</v>
      </c>
      <c r="W7" s="700">
        <f t="shared" ref="W7:W15" si="2">J7</f>
        <v>0</v>
      </c>
      <c r="X7" s="701"/>
      <c r="Y7" s="3730" t="s">
        <v>1680</v>
      </c>
      <c r="Z7" s="3731"/>
      <c r="AA7" s="702" t="e">
        <f>D7/F7</f>
        <v>#DIV/0!</v>
      </c>
      <c r="AB7" s="702" t="e">
        <f>D7/H7</f>
        <v>#DIV/0!</v>
      </c>
      <c r="AC7" s="702" t="e">
        <f>D7/J7</f>
        <v>#DIV/0!</v>
      </c>
    </row>
    <row r="8" spans="1:29" s="107" customFormat="1" ht="15" thickBot="1">
      <c r="A8" s="360" t="s">
        <v>1681</v>
      </c>
      <c r="B8" s="361"/>
      <c r="C8" s="366"/>
      <c r="D8" s="363">
        <v>100</v>
      </c>
      <c r="E8" s="1889"/>
      <c r="F8" s="365">
        <f>SUMIF(61:61,E8,62:62)-SUMIF(61:61,C8,62:62)+100</f>
        <v>100</v>
      </c>
      <c r="G8" s="366"/>
      <c r="H8" s="363">
        <f>SUMIF(61:61,G8,62:62)-SUMIF(61:61,C8,62:62)+100</f>
        <v>100</v>
      </c>
      <c r="I8" s="1889"/>
      <c r="J8" s="363">
        <f>SUMIF(61:61,I8,62:62)-SUMIF(61:61,C8,62:62)+100</f>
        <v>100</v>
      </c>
      <c r="K8" s="1888"/>
      <c r="L8" s="2714"/>
      <c r="M8" s="2715"/>
      <c r="N8" s="2715"/>
      <c r="O8" s="2715"/>
      <c r="P8" s="3730" t="s">
        <v>1683</v>
      </c>
      <c r="Q8" s="3731"/>
      <c r="R8" s="699" t="s">
        <v>20</v>
      </c>
      <c r="S8" s="700">
        <f t="shared" si="0"/>
        <v>100</v>
      </c>
      <c r="T8" s="699" t="s">
        <v>20</v>
      </c>
      <c r="U8" s="700">
        <f t="shared" si="1"/>
        <v>100</v>
      </c>
      <c r="V8" s="699" t="s">
        <v>20</v>
      </c>
      <c r="W8" s="700">
        <f t="shared" si="2"/>
        <v>100</v>
      </c>
      <c r="X8" s="701"/>
      <c r="Y8" s="3730" t="s">
        <v>1683</v>
      </c>
      <c r="Z8" s="3731"/>
      <c r="AA8" s="702">
        <f t="shared" ref="AA8:AA19" si="3">D8/F8</f>
        <v>1</v>
      </c>
      <c r="AB8" s="702">
        <f t="shared" ref="AB8:AB19" si="4">D8/H8</f>
        <v>1</v>
      </c>
      <c r="AC8" s="702">
        <f t="shared" ref="AC8:AC19" si="5">D8/J8</f>
        <v>1</v>
      </c>
    </row>
    <row r="9" spans="1:29" s="107" customFormat="1" ht="14.4">
      <c r="A9" s="367" t="s">
        <v>1684</v>
      </c>
      <c r="B9" s="63" t="s">
        <v>1685</v>
      </c>
      <c r="C9" s="368"/>
      <c r="D9" s="124">
        <v>100</v>
      </c>
      <c r="E9" s="369"/>
      <c r="F9" s="370">
        <f>SUMIF(63:63,E9,64:64)-SUMIF(63:63,C9,64:64)+100</f>
        <v>100</v>
      </c>
      <c r="G9" s="371"/>
      <c r="H9" s="124">
        <f>SUMIF(63:63,G9,64:64)-SUMIF(63:63,C9,64:64)+100</f>
        <v>100</v>
      </c>
      <c r="I9" s="371"/>
      <c r="J9" s="124">
        <f>SUMIF(63:63,I9,64:64)-SUMIF(63:63,C9,64:64)+100</f>
        <v>100</v>
      </c>
      <c r="K9" s="1888"/>
      <c r="L9" s="2714"/>
      <c r="M9" s="2715"/>
      <c r="N9" s="2715"/>
      <c r="O9" s="2715"/>
      <c r="P9" s="3705" t="s">
        <v>1686</v>
      </c>
      <c r="Q9" s="1340" t="str">
        <f t="shared" ref="Q9:Q15" si="6">B9</f>
        <v>用途</v>
      </c>
      <c r="R9" s="699" t="s">
        <v>14</v>
      </c>
      <c r="S9" s="700">
        <f t="shared" si="0"/>
        <v>100</v>
      </c>
      <c r="T9" s="699" t="s">
        <v>14</v>
      </c>
      <c r="U9" s="700">
        <f t="shared" si="1"/>
        <v>100</v>
      </c>
      <c r="V9" s="699" t="s">
        <v>14</v>
      </c>
      <c r="W9" s="700">
        <f t="shared" si="2"/>
        <v>100</v>
      </c>
      <c r="X9" s="701"/>
      <c r="Y9" s="3550" t="s">
        <v>1687</v>
      </c>
      <c r="Z9" s="52" t="str">
        <f t="shared" ref="Z9:Z15" si="7">Q9</f>
        <v>用途</v>
      </c>
      <c r="AA9" s="702">
        <f t="shared" si="3"/>
        <v>1</v>
      </c>
      <c r="AB9" s="702">
        <f t="shared" si="4"/>
        <v>1</v>
      </c>
      <c r="AC9" s="702">
        <f t="shared" si="5"/>
        <v>1</v>
      </c>
    </row>
    <row r="10" spans="1:29" s="376" customFormat="1" ht="28.8">
      <c r="A10" s="372"/>
      <c r="B10" s="373" t="s">
        <v>1688</v>
      </c>
      <c r="C10" s="3434"/>
      <c r="D10" s="125">
        <v>100</v>
      </c>
      <c r="E10" s="3435"/>
      <c r="F10" s="374">
        <f>SUMIF(65:65,E10,66:66)-SUMIF(65:65,C10,66:66)+100</f>
        <v>100</v>
      </c>
      <c r="G10" s="3434"/>
      <c r="H10" s="125">
        <f>SUMIF(65:65,G10,66:66)-SUMIF(65:65,C10,66:66)+100</f>
        <v>100</v>
      </c>
      <c r="I10" s="3434"/>
      <c r="J10" s="125">
        <f>SUMIF(65:65,I10,66:66)-SUMIF(65:65,C10,66:66)+100</f>
        <v>100</v>
      </c>
      <c r="K10" s="1888"/>
      <c r="L10" s="2716"/>
      <c r="M10" s="2717"/>
      <c r="N10" s="2717"/>
      <c r="O10" s="2717"/>
      <c r="P10" s="3705"/>
      <c r="Q10" s="1340" t="str">
        <f t="shared" si="6"/>
        <v>土地使用年限（年）</v>
      </c>
      <c r="R10" s="699" t="s">
        <v>14</v>
      </c>
      <c r="S10" s="700">
        <f t="shared" si="0"/>
        <v>100</v>
      </c>
      <c r="T10" s="699" t="s">
        <v>14</v>
      </c>
      <c r="U10" s="700">
        <f t="shared" si="1"/>
        <v>100</v>
      </c>
      <c r="V10" s="699" t="s">
        <v>14</v>
      </c>
      <c r="W10" s="700">
        <f t="shared" si="2"/>
        <v>100</v>
      </c>
      <c r="X10" s="701"/>
      <c r="Y10" s="3550"/>
      <c r="Z10" s="52"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375"/>
      <c r="L11" s="2718"/>
      <c r="M11" s="2713"/>
      <c r="N11" s="2713"/>
      <c r="O11" s="2713"/>
      <c r="P11" s="3705"/>
      <c r="Q11" s="1340" t="str">
        <f t="shared" si="6"/>
        <v>容积率</v>
      </c>
      <c r="R11" s="699" t="s">
        <v>18</v>
      </c>
      <c r="S11" s="700" t="e">
        <f t="shared" si="0"/>
        <v>#N/A</v>
      </c>
      <c r="T11" s="699" t="s">
        <v>18</v>
      </c>
      <c r="U11" s="700" t="e">
        <f t="shared" si="1"/>
        <v>#N/A</v>
      </c>
      <c r="V11" s="699" t="s">
        <v>18</v>
      </c>
      <c r="W11" s="700" t="e">
        <f t="shared" si="2"/>
        <v>#N/A</v>
      </c>
      <c r="X11" s="701"/>
      <c r="Y11" s="3550"/>
      <c r="Z11" s="52" t="str">
        <f t="shared" si="7"/>
        <v>容积率</v>
      </c>
      <c r="AA11" s="702" t="e">
        <f t="shared" si="3"/>
        <v>#N/A</v>
      </c>
      <c r="AB11" s="702" t="e">
        <f t="shared" si="4"/>
        <v>#N/A</v>
      </c>
      <c r="AC11" s="702" t="e">
        <f t="shared" si="5"/>
        <v>#N/A</v>
      </c>
    </row>
    <row r="12" spans="1:29" s="107" customFormat="1" ht="15">
      <c r="A12" s="380"/>
      <c r="B12" s="1890">
        <v>111</v>
      </c>
      <c r="C12" s="381"/>
      <c r="D12" s="382">
        <v>100</v>
      </c>
      <c r="E12" s="381"/>
      <c r="F12" s="374">
        <f>SUMIF(70:70,E12,71:71)-SUMIF(70:70,C12,71:71)+100</f>
        <v>100</v>
      </c>
      <c r="G12" s="381"/>
      <c r="H12" s="125">
        <f>SUMIF(70:70,G12,71:71)-SUMIF(70:70,C12,71:71)+100</f>
        <v>100</v>
      </c>
      <c r="I12" s="381"/>
      <c r="J12" s="125">
        <f>SUMIF(70:70,I12,71:71)-SUMIF(70:70,C12,71:71)+100</f>
        <v>100</v>
      </c>
      <c r="K12" s="1891"/>
      <c r="L12" s="2714"/>
      <c r="M12" s="2715"/>
      <c r="N12" s="2715"/>
      <c r="O12" s="2715"/>
      <c r="P12" s="3705"/>
      <c r="Q12" s="1340">
        <f t="shared" si="6"/>
        <v>111</v>
      </c>
      <c r="R12" s="699" t="s">
        <v>18</v>
      </c>
      <c r="S12" s="700">
        <f t="shared" si="0"/>
        <v>100</v>
      </c>
      <c r="T12" s="699" t="s">
        <v>18</v>
      </c>
      <c r="U12" s="700">
        <f t="shared" si="1"/>
        <v>100</v>
      </c>
      <c r="V12" s="699" t="s">
        <v>18</v>
      </c>
      <c r="W12" s="700">
        <f t="shared" si="2"/>
        <v>100</v>
      </c>
      <c r="X12" s="701"/>
      <c r="Y12" s="3550"/>
      <c r="Z12" s="52">
        <f t="shared" si="7"/>
        <v>111</v>
      </c>
      <c r="AA12" s="702">
        <f>D12/F12</f>
        <v>1</v>
      </c>
      <c r="AB12" s="702">
        <f>D12/H12</f>
        <v>1</v>
      </c>
      <c r="AC12" s="702">
        <f>D12/J12</f>
        <v>1</v>
      </c>
    </row>
    <row r="13" spans="1:29" ht="15">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1891"/>
      <c r="L13" s="2719"/>
      <c r="M13" s="2713"/>
      <c r="N13" s="2713"/>
      <c r="O13" s="2713"/>
      <c r="P13" s="3705"/>
      <c r="Q13" s="1340">
        <f t="shared" si="6"/>
        <v>111</v>
      </c>
      <c r="R13" s="699" t="s">
        <v>18</v>
      </c>
      <c r="S13" s="700">
        <f t="shared" si="0"/>
        <v>100</v>
      </c>
      <c r="T13" s="699" t="s">
        <v>18</v>
      </c>
      <c r="U13" s="700">
        <f t="shared" si="1"/>
        <v>100</v>
      </c>
      <c r="V13" s="699" t="s">
        <v>18</v>
      </c>
      <c r="W13" s="700">
        <f t="shared" si="2"/>
        <v>100</v>
      </c>
      <c r="X13" s="701"/>
      <c r="Y13" s="3550"/>
      <c r="Z13" s="52">
        <f t="shared" si="7"/>
        <v>111</v>
      </c>
      <c r="AA13" s="702">
        <f t="shared" si="3"/>
        <v>1</v>
      </c>
      <c r="AB13" s="702">
        <f t="shared" si="4"/>
        <v>1</v>
      </c>
      <c r="AC13" s="702">
        <f t="shared" si="5"/>
        <v>1</v>
      </c>
    </row>
    <row r="14" spans="1:29" ht="15.6" thickBot="1">
      <c r="A14" s="385"/>
      <c r="B14" s="1892">
        <v>111</v>
      </c>
      <c r="C14" s="386"/>
      <c r="D14" s="387">
        <v>100</v>
      </c>
      <c r="E14" s="386"/>
      <c r="F14" s="388">
        <f>SUMIF(74:74,E14,75:75)-SUMIF(74:74,C14,75:75)+100</f>
        <v>100</v>
      </c>
      <c r="G14" s="386"/>
      <c r="H14" s="387">
        <f>SUMIF(74:74,G14,75:75)-SUMIF(74:74,C14,75:75)+100</f>
        <v>100</v>
      </c>
      <c r="I14" s="386"/>
      <c r="J14" s="387">
        <f>SUMIF(74:74,I14,75:75)-SUMIF(74:74,C14,75:75)+100</f>
        <v>100</v>
      </c>
      <c r="K14" s="1891"/>
      <c r="L14" s="2719"/>
      <c r="M14" s="2713"/>
      <c r="N14" s="2713"/>
      <c r="O14" s="2713"/>
      <c r="P14" s="3705"/>
      <c r="Q14" s="1340">
        <f t="shared" si="6"/>
        <v>111</v>
      </c>
      <c r="R14" s="699" t="s">
        <v>18</v>
      </c>
      <c r="S14" s="700">
        <f t="shared" si="0"/>
        <v>100</v>
      </c>
      <c r="T14" s="699" t="s">
        <v>18</v>
      </c>
      <c r="U14" s="700">
        <f t="shared" si="1"/>
        <v>100</v>
      </c>
      <c r="V14" s="699" t="s">
        <v>18</v>
      </c>
      <c r="W14" s="700">
        <f t="shared" si="2"/>
        <v>100</v>
      </c>
      <c r="X14" s="701"/>
      <c r="Y14" s="3550"/>
      <c r="Z14" s="52">
        <f t="shared" si="7"/>
        <v>111</v>
      </c>
      <c r="AA14" s="702">
        <f t="shared" si="3"/>
        <v>1</v>
      </c>
      <c r="AB14" s="702">
        <f t="shared" si="4"/>
        <v>1</v>
      </c>
      <c r="AC14" s="702">
        <f t="shared" si="5"/>
        <v>1</v>
      </c>
    </row>
    <row r="15" spans="1:29" ht="96.6">
      <c r="A15" s="389" t="s">
        <v>1690</v>
      </c>
      <c r="B15" s="61" t="s">
        <v>1257</v>
      </c>
      <c r="C15" s="1893" t="str">
        <f>估价对象房地状况!C3</f>
        <v>估价对象周边居住用地比例、居住小区规模和社区发展完善程度，综合评价居住社区成熟度一般</v>
      </c>
      <c r="D15" s="390">
        <v>100</v>
      </c>
      <c r="E15" s="393"/>
      <c r="F15" s="390">
        <f>SUMIF(76:76,E16,77:77)-SUMIF(76:76,C16,77:77)+100</f>
        <v>100</v>
      </c>
      <c r="G15" s="391"/>
      <c r="H15" s="390">
        <f>SUMIF(76:76,G16,77:77)-SUMIF(76:76,C16,77:77)+100</f>
        <v>100</v>
      </c>
      <c r="I15" s="391"/>
      <c r="J15" s="390">
        <f>SUMIF(76:76,I16,77:77)-SUMIF(76:76,C16,77:77)+100</f>
        <v>100</v>
      </c>
      <c r="K15" s="394"/>
      <c r="L15" s="2719"/>
      <c r="M15" s="2713"/>
      <c r="N15" s="2713"/>
      <c r="O15" s="2713"/>
      <c r="P15" s="3703" t="s">
        <v>1691</v>
      </c>
      <c r="Q15" s="1349" t="str">
        <f t="shared" si="6"/>
        <v>居住社区成熟度</v>
      </c>
      <c r="R15" s="703" t="s">
        <v>18</v>
      </c>
      <c r="S15" s="704">
        <f t="shared" si="0"/>
        <v>100</v>
      </c>
      <c r="T15" s="703" t="s">
        <v>18</v>
      </c>
      <c r="U15" s="704">
        <f t="shared" si="1"/>
        <v>100</v>
      </c>
      <c r="V15" s="703" t="s">
        <v>18</v>
      </c>
      <c r="W15" s="704">
        <f t="shared" si="2"/>
        <v>100</v>
      </c>
      <c r="X15" s="1352"/>
      <c r="Y15" s="3696" t="s">
        <v>1691</v>
      </c>
      <c r="Z15" s="1353" t="str">
        <f t="shared" si="7"/>
        <v>居住社区成熟度</v>
      </c>
      <c r="AA15" s="1350">
        <f t="shared" si="3"/>
        <v>1</v>
      </c>
      <c r="AB15" s="1350">
        <f t="shared" si="4"/>
        <v>1</v>
      </c>
      <c r="AC15" s="1350">
        <f t="shared" si="5"/>
        <v>1</v>
      </c>
    </row>
    <row r="16" spans="1:29" ht="15">
      <c r="A16" s="377"/>
      <c r="B16" s="395"/>
      <c r="C16" s="396"/>
      <c r="D16" s="397"/>
      <c r="E16" s="1894"/>
      <c r="F16" s="397"/>
      <c r="G16" s="1895"/>
      <c r="H16" s="399"/>
      <c r="I16" s="1895"/>
      <c r="J16" s="397"/>
      <c r="K16" s="1896"/>
      <c r="L16" s="2719"/>
      <c r="M16" s="2713"/>
      <c r="N16" s="2713"/>
      <c r="O16" s="2713"/>
      <c r="P16" s="3704"/>
      <c r="Q16" s="1349"/>
      <c r="R16" s="703"/>
      <c r="S16" s="704"/>
      <c r="T16" s="703"/>
      <c r="U16" s="704"/>
      <c r="V16" s="703"/>
      <c r="W16" s="704"/>
      <c r="X16" s="1352"/>
      <c r="Y16" s="3697"/>
      <c r="Z16" s="1353"/>
      <c r="AA16" s="1350">
        <v>1</v>
      </c>
      <c r="AB16" s="1350">
        <v>1</v>
      </c>
      <c r="AC16" s="1350">
        <v>1</v>
      </c>
    </row>
    <row r="17" spans="1:29" ht="82.8">
      <c r="A17" s="377"/>
      <c r="B17" s="400" t="s">
        <v>1259</v>
      </c>
      <c r="C17" s="1897"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719"/>
      <c r="M17" s="2713"/>
      <c r="N17" s="2713"/>
      <c r="O17" s="2713"/>
      <c r="P17" s="3704"/>
      <c r="Q17" s="1349" t="str">
        <f>B17</f>
        <v>交通便捷度</v>
      </c>
      <c r="R17" s="703" t="s">
        <v>18</v>
      </c>
      <c r="S17" s="704">
        <f>F17</f>
        <v>100</v>
      </c>
      <c r="T17" s="703" t="s">
        <v>18</v>
      </c>
      <c r="U17" s="704">
        <f>H17</f>
        <v>100</v>
      </c>
      <c r="V17" s="703" t="s">
        <v>18</v>
      </c>
      <c r="W17" s="704">
        <f>J17</f>
        <v>100</v>
      </c>
      <c r="X17" s="1352"/>
      <c r="Y17" s="3697"/>
      <c r="Z17" s="1353" t="str">
        <f>Q17</f>
        <v>交通便捷度</v>
      </c>
      <c r="AA17" s="1350">
        <f t="shared" si="3"/>
        <v>1</v>
      </c>
      <c r="AB17" s="1350">
        <f t="shared" si="4"/>
        <v>1</v>
      </c>
      <c r="AC17" s="1350">
        <f t="shared" si="5"/>
        <v>1</v>
      </c>
    </row>
    <row r="18" spans="1:29" ht="15">
      <c r="A18" s="377"/>
      <c r="B18" s="405"/>
      <c r="C18" s="1898"/>
      <c r="D18" s="399"/>
      <c r="E18" s="1899"/>
      <c r="F18" s="399"/>
      <c r="G18" s="1900"/>
      <c r="H18" s="397"/>
      <c r="I18" s="1900"/>
      <c r="J18" s="397"/>
      <c r="K18" s="1896"/>
      <c r="L18" s="2719"/>
      <c r="M18" s="2713"/>
      <c r="N18" s="2713"/>
      <c r="O18" s="2713"/>
      <c r="P18" s="3704"/>
      <c r="Q18" s="1349"/>
      <c r="R18" s="703"/>
      <c r="S18" s="704"/>
      <c r="T18" s="703"/>
      <c r="U18" s="704"/>
      <c r="V18" s="703"/>
      <c r="W18" s="704"/>
      <c r="X18" s="1352"/>
      <c r="Y18" s="3697"/>
      <c r="Z18" s="1353"/>
      <c r="AA18" s="1350">
        <v>1</v>
      </c>
      <c r="AB18" s="1350">
        <v>1</v>
      </c>
      <c r="AC18" s="1350">
        <v>1</v>
      </c>
    </row>
    <row r="19" spans="1:29" ht="41.4">
      <c r="A19" s="377"/>
      <c r="B19" s="400" t="s">
        <v>1258</v>
      </c>
      <c r="C19" s="1897" t="str">
        <f>估价对象房地状况!C7</f>
        <v>估价对象所在区域公共配套设施齐备情况</v>
      </c>
      <c r="D19" s="404">
        <v>100</v>
      </c>
      <c r="E19" s="408"/>
      <c r="F19" s="404">
        <f>SUMIF(80:80,E20,81:81)-SUMIF(80:80,C20,81:81)+100</f>
        <v>100</v>
      </c>
      <c r="G19" s="406"/>
      <c r="H19" s="399">
        <f>SUMIF(80:80,G20,81:81)-SUMIF(80:80,C20,81:81)+100</f>
        <v>100</v>
      </c>
      <c r="I19" s="406"/>
      <c r="J19" s="399">
        <f>SUMIF(80:80,I20,81:81)-SUMIF(80:80,C20,81:81)+100</f>
        <v>100</v>
      </c>
      <c r="K19" s="394"/>
      <c r="L19" s="2719"/>
      <c r="M19" s="2713"/>
      <c r="N19" s="2713"/>
      <c r="O19" s="2713"/>
      <c r="P19" s="3704"/>
      <c r="Q19" s="1349" t="str">
        <f>B19</f>
        <v>公共配套设施</v>
      </c>
      <c r="R19" s="703" t="s">
        <v>18</v>
      </c>
      <c r="S19" s="704">
        <f>F19</f>
        <v>100</v>
      </c>
      <c r="T19" s="703" t="s">
        <v>18</v>
      </c>
      <c r="U19" s="704">
        <f>H19</f>
        <v>100</v>
      </c>
      <c r="V19" s="703" t="s">
        <v>18</v>
      </c>
      <c r="W19" s="704">
        <f>J19</f>
        <v>100</v>
      </c>
      <c r="X19" s="1352"/>
      <c r="Y19" s="3697"/>
      <c r="Z19" s="1353" t="str">
        <f>Q19</f>
        <v>公共配套设施</v>
      </c>
      <c r="AA19" s="1350">
        <f t="shared" si="3"/>
        <v>1</v>
      </c>
      <c r="AB19" s="1350">
        <f t="shared" si="4"/>
        <v>1</v>
      </c>
      <c r="AC19" s="1350">
        <f t="shared" si="5"/>
        <v>1</v>
      </c>
    </row>
    <row r="20" spans="1:29" ht="15">
      <c r="A20" s="377"/>
      <c r="B20" s="405"/>
      <c r="C20" s="396"/>
      <c r="D20" s="397"/>
      <c r="E20" s="1894"/>
      <c r="F20" s="397"/>
      <c r="G20" s="1895"/>
      <c r="H20" s="397"/>
      <c r="I20" s="1895"/>
      <c r="J20" s="397"/>
      <c r="K20" s="1896"/>
      <c r="L20" s="2719"/>
      <c r="M20" s="2713"/>
      <c r="N20" s="2713"/>
      <c r="O20" s="2713"/>
      <c r="P20" s="3704"/>
      <c r="Q20" s="1349"/>
      <c r="R20" s="703"/>
      <c r="S20" s="704"/>
      <c r="T20" s="703"/>
      <c r="U20" s="704"/>
      <c r="V20" s="703"/>
      <c r="W20" s="704"/>
      <c r="X20" s="1352"/>
      <c r="Y20" s="3697"/>
      <c r="Z20" s="1353"/>
      <c r="AA20" s="1350">
        <v>1</v>
      </c>
      <c r="AB20" s="1350">
        <v>1</v>
      </c>
      <c r="AC20" s="1350">
        <v>1</v>
      </c>
    </row>
    <row r="21" spans="1:29" ht="27.6">
      <c r="A21" s="377"/>
      <c r="B21" s="1128" t="s">
        <v>1260</v>
      </c>
      <c r="C21" s="1897" t="str">
        <f>估价对象房地状况!C8</f>
        <v>估价对象所在区域基础设施水平</v>
      </c>
      <c r="D21" s="399">
        <v>100</v>
      </c>
      <c r="E21" s="408"/>
      <c r="F21" s="404">
        <f>SUMIF(82:82,E22,83:83)-SUMIF(82:82,C22,83:83)+100</f>
        <v>100</v>
      </c>
      <c r="G21" s="406"/>
      <c r="H21" s="399">
        <f>SUMIF(82:82,G22,83:83)-SUMIF(82:82,C22,83:83)+100</f>
        <v>100</v>
      </c>
      <c r="I21" s="406"/>
      <c r="J21" s="399">
        <f>SUMIF(82:82,I22,83:83)-SUMIF(82:82,C22,83:83)+100</f>
        <v>100</v>
      </c>
      <c r="K21" s="394"/>
      <c r="L21" s="2719"/>
      <c r="M21" s="2713"/>
      <c r="N21" s="2713"/>
      <c r="O21" s="2713"/>
      <c r="P21" s="3704"/>
      <c r="Q21" s="1349" t="str">
        <f>B21</f>
        <v>基础设施水平</v>
      </c>
      <c r="R21" s="703" t="s">
        <v>14</v>
      </c>
      <c r="S21" s="704">
        <f>F21</f>
        <v>100</v>
      </c>
      <c r="T21" s="703" t="s">
        <v>14</v>
      </c>
      <c r="U21" s="704">
        <f>H21</f>
        <v>100</v>
      </c>
      <c r="V21" s="703" t="s">
        <v>14</v>
      </c>
      <c r="W21" s="704">
        <f>J21</f>
        <v>100</v>
      </c>
      <c r="X21" s="1352"/>
      <c r="Y21" s="3697"/>
      <c r="Z21" s="1353" t="str">
        <f>Q21</f>
        <v>基础设施水平</v>
      </c>
      <c r="AA21" s="1350">
        <f t="shared" ref="AA21" si="8">D21/F21</f>
        <v>1</v>
      </c>
      <c r="AB21" s="1350">
        <f t="shared" ref="AB21" si="9">D21/H21</f>
        <v>1</v>
      </c>
      <c r="AC21" s="1350">
        <f t="shared" ref="AC21" si="10">D21/J21</f>
        <v>1</v>
      </c>
    </row>
    <row r="22" spans="1:29" ht="15">
      <c r="A22" s="377"/>
      <c r="B22" s="1128"/>
      <c r="C22" s="1898"/>
      <c r="D22" s="397"/>
      <c r="E22" s="396"/>
      <c r="F22" s="397"/>
      <c r="G22" s="1901"/>
      <c r="H22" s="397"/>
      <c r="I22" s="396"/>
      <c r="J22" s="397"/>
      <c r="K22" s="1902"/>
      <c r="L22" s="2719"/>
      <c r="M22" s="2713"/>
      <c r="N22" s="2713"/>
      <c r="O22" s="2713"/>
      <c r="P22" s="3704"/>
      <c r="Q22" s="1349"/>
      <c r="R22" s="703"/>
      <c r="S22" s="704"/>
      <c r="T22" s="703"/>
      <c r="U22" s="704"/>
      <c r="V22" s="703"/>
      <c r="W22" s="704"/>
      <c r="X22" s="1352"/>
      <c r="Y22" s="3697"/>
      <c r="Z22" s="1353"/>
      <c r="AA22" s="1350">
        <v>1</v>
      </c>
      <c r="AB22" s="1350">
        <v>1</v>
      </c>
      <c r="AC22" s="1350">
        <v>1</v>
      </c>
    </row>
    <row r="23" spans="1:29" ht="55.2">
      <c r="A23" s="377"/>
      <c r="B23" s="400" t="s">
        <v>1261</v>
      </c>
      <c r="C23" s="1897" t="str">
        <f>估价对象房地状况!C9</f>
        <v>区域自然环境：；人文环境；综合评价环境状况一般</v>
      </c>
      <c r="D23" s="399">
        <v>100</v>
      </c>
      <c r="E23" s="403"/>
      <c r="F23" s="399">
        <f>SUMIF(84:84,E24,85:85)-SUMIF(84:84,C24,85:85)+100</f>
        <v>100</v>
      </c>
      <c r="G23" s="401"/>
      <c r="H23" s="399">
        <f>SUMIF(84:84,G24,85:85)-SUMIF(84:84,C24,85:85)+100</f>
        <v>100</v>
      </c>
      <c r="I23" s="401"/>
      <c r="J23" s="399">
        <f>SUMIF(84:84,I24,85:85)-SUMIF(84:84,C24,85:85)+100</f>
        <v>100</v>
      </c>
      <c r="K23" s="394"/>
      <c r="L23" s="2719"/>
      <c r="M23" s="2713"/>
      <c r="N23" s="2713"/>
      <c r="O23" s="2713"/>
      <c r="P23" s="3704"/>
      <c r="Q23" s="1349" t="str">
        <f>B23</f>
        <v>自然及人文环境</v>
      </c>
      <c r="R23" s="703" t="s">
        <v>18</v>
      </c>
      <c r="S23" s="704">
        <f>F23</f>
        <v>100</v>
      </c>
      <c r="T23" s="703" t="s">
        <v>18</v>
      </c>
      <c r="U23" s="704">
        <f>H23</f>
        <v>100</v>
      </c>
      <c r="V23" s="703" t="s">
        <v>18</v>
      </c>
      <c r="W23" s="704">
        <f>J23</f>
        <v>100</v>
      </c>
      <c r="X23" s="1352"/>
      <c r="Y23" s="3697"/>
      <c r="Z23" s="1353" t="str">
        <f>Q23</f>
        <v>自然及人文环境</v>
      </c>
      <c r="AA23" s="1350">
        <f>D23/F23</f>
        <v>1</v>
      </c>
      <c r="AB23" s="1350">
        <f>D23/H23</f>
        <v>1</v>
      </c>
      <c r="AC23" s="1350">
        <f>D23/J23</f>
        <v>1</v>
      </c>
    </row>
    <row r="24" spans="1:29" ht="15">
      <c r="A24" s="377"/>
      <c r="B24" s="405"/>
      <c r="C24" s="396"/>
      <c r="D24" s="397"/>
      <c r="E24" s="1894"/>
      <c r="F24" s="397"/>
      <c r="G24" s="1895"/>
      <c r="H24" s="397"/>
      <c r="I24" s="1895"/>
      <c r="J24" s="397"/>
      <c r="K24" s="1896"/>
      <c r="L24" s="2719"/>
      <c r="M24" s="2713"/>
      <c r="N24" s="2713"/>
      <c r="O24" s="2713"/>
      <c r="P24" s="3704"/>
      <c r="Q24" s="1349"/>
      <c r="R24" s="703"/>
      <c r="S24" s="704"/>
      <c r="T24" s="703"/>
      <c r="U24" s="704"/>
      <c r="V24" s="703"/>
      <c r="W24" s="704"/>
      <c r="X24" s="1352"/>
      <c r="Y24" s="3697"/>
      <c r="Z24" s="1353"/>
      <c r="AA24" s="1350">
        <v>1</v>
      </c>
      <c r="AB24" s="1350">
        <v>1</v>
      </c>
      <c r="AC24" s="1350">
        <v>1</v>
      </c>
    </row>
    <row r="25" spans="1:29" ht="15">
      <c r="A25" s="377"/>
      <c r="B25" s="373" t="s">
        <v>1692</v>
      </c>
      <c r="C25" s="409"/>
      <c r="D25" s="384">
        <v>100</v>
      </c>
      <c r="E25" s="1903"/>
      <c r="F25" s="384">
        <f>SUMIF(86:86,E25,87:87)-SUMIF(86:86,C25,87:87)+100</f>
        <v>100</v>
      </c>
      <c r="G25" s="1904"/>
      <c r="H25" s="384">
        <f>SUMIF(86:86,G25,87:87)-SUMIF(86:86,C25,87:87)+100</f>
        <v>100</v>
      </c>
      <c r="I25" s="1904"/>
      <c r="J25" s="384">
        <f>SUMIF(86:86,I25,87:87)-SUMIF(86:86,C25,87:87)+100</f>
        <v>100</v>
      </c>
      <c r="K25" s="375"/>
      <c r="L25" s="2719"/>
      <c r="M25" s="2713"/>
      <c r="N25" s="2713"/>
      <c r="O25" s="2713"/>
      <c r="P25" s="3704"/>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697"/>
      <c r="Z25" s="1353" t="str">
        <f>Q25</f>
        <v>楼层-1</v>
      </c>
      <c r="AA25" s="1350">
        <f t="shared" ref="AA25:AA46" si="15">D25/F25</f>
        <v>1</v>
      </c>
      <c r="AB25" s="1350">
        <f t="shared" ref="AB25:AB46" si="16">D25/H25</f>
        <v>1</v>
      </c>
      <c r="AC25" s="1350">
        <f t="shared" ref="AC25:AC46" si="17">D25/J25</f>
        <v>1</v>
      </c>
    </row>
    <row r="26" spans="1:29" ht="15">
      <c r="A26" s="377"/>
      <c r="B26" s="373" t="s">
        <v>1693</v>
      </c>
      <c r="C26" s="409"/>
      <c r="D26" s="384">
        <v>100</v>
      </c>
      <c r="E26" s="1903"/>
      <c r="F26" s="384">
        <f>SUMIF(88:88,E26,89:89)-SUMIF(88:88,C26,89:89)+100</f>
        <v>100</v>
      </c>
      <c r="G26" s="1904"/>
      <c r="H26" s="384">
        <f>SUMIF(88:88,G26,89:89)-SUMIF(88:88,C26,89:89)+100</f>
        <v>100</v>
      </c>
      <c r="I26" s="1904"/>
      <c r="J26" s="384">
        <f>SUMIF(88:88,I26,89:89)-SUMIF(88:88,C26,89:89)+100</f>
        <v>100</v>
      </c>
      <c r="K26" s="375"/>
      <c r="L26" s="2719"/>
      <c r="M26" s="2713"/>
      <c r="N26" s="2713"/>
      <c r="O26" s="2713"/>
      <c r="P26" s="3704"/>
      <c r="Q26" s="1349" t="str">
        <f t="shared" si="11"/>
        <v>朝向</v>
      </c>
      <c r="R26" s="703" t="s">
        <v>18</v>
      </c>
      <c r="S26" s="704">
        <f t="shared" si="12"/>
        <v>100</v>
      </c>
      <c r="T26" s="703" t="s">
        <v>18</v>
      </c>
      <c r="U26" s="704">
        <f t="shared" si="13"/>
        <v>100</v>
      </c>
      <c r="V26" s="703" t="s">
        <v>18</v>
      </c>
      <c r="W26" s="704">
        <f t="shared" si="14"/>
        <v>100</v>
      </c>
      <c r="X26" s="1352"/>
      <c r="Y26" s="3697"/>
      <c r="Z26" s="1353" t="str">
        <f>Q26</f>
        <v>朝向</v>
      </c>
      <c r="AA26" s="1350">
        <f t="shared" si="15"/>
        <v>1</v>
      </c>
      <c r="AB26" s="1350">
        <f t="shared" si="16"/>
        <v>1</v>
      </c>
      <c r="AC26" s="1350">
        <f t="shared" si="17"/>
        <v>1</v>
      </c>
    </row>
    <row r="27" spans="1:29" s="107" customFormat="1" ht="15">
      <c r="A27" s="380"/>
      <c r="B27" s="1130">
        <v>111</v>
      </c>
      <c r="C27" s="381"/>
      <c r="D27" s="411">
        <v>100</v>
      </c>
      <c r="E27" s="414"/>
      <c r="F27" s="411">
        <f>SUMIF(90:90,E27,91:91)-SUMIF(90:90,C27,91:91)+100</f>
        <v>100</v>
      </c>
      <c r="G27" s="412"/>
      <c r="H27" s="411">
        <f>SUMIF(90:90,G27,91:91)-SUMIF(90:90,C27,91:91)+100</f>
        <v>100</v>
      </c>
      <c r="I27" s="412"/>
      <c r="J27" s="411">
        <f>SUMIF(90:90,I27,91:91)-SUMIF(90:90,C27,91:91)+100</f>
        <v>100</v>
      </c>
      <c r="K27" s="1891"/>
      <c r="L27" s="2714"/>
      <c r="M27" s="2715"/>
      <c r="N27" s="2715"/>
      <c r="O27" s="2715"/>
      <c r="P27" s="3704"/>
      <c r="Q27" s="1340">
        <f t="shared" si="11"/>
        <v>111</v>
      </c>
      <c r="R27" s="699" t="s">
        <v>18</v>
      </c>
      <c r="S27" s="700">
        <f t="shared" si="12"/>
        <v>100</v>
      </c>
      <c r="T27" s="699" t="s">
        <v>18</v>
      </c>
      <c r="U27" s="700">
        <f t="shared" si="13"/>
        <v>100</v>
      </c>
      <c r="V27" s="699" t="s">
        <v>18</v>
      </c>
      <c r="W27" s="700">
        <f t="shared" si="14"/>
        <v>100</v>
      </c>
      <c r="X27" s="701"/>
      <c r="Y27" s="3697"/>
      <c r="Z27" s="52">
        <f>Q27</f>
        <v>111</v>
      </c>
      <c r="AA27" s="1350">
        <f t="shared" si="15"/>
        <v>1</v>
      </c>
      <c r="AB27" s="1350">
        <f t="shared" si="16"/>
        <v>1</v>
      </c>
      <c r="AC27" s="1350">
        <f t="shared" si="17"/>
        <v>1</v>
      </c>
    </row>
    <row r="28" spans="1:29" ht="15">
      <c r="A28" s="377"/>
      <c r="B28" s="1130">
        <v>111</v>
      </c>
      <c r="C28" s="383"/>
      <c r="D28" s="384">
        <v>100</v>
      </c>
      <c r="E28" s="383"/>
      <c r="F28" s="384">
        <f>SUMIF(92:92,E28,93:93)-SUMIF(92:92,C28,93:93)+100</f>
        <v>100</v>
      </c>
      <c r="G28" s="1905"/>
      <c r="H28" s="384">
        <f>SUMIF(92:92,G28,93:93)-SUMIF(92:92,C28,93:93)+100</f>
        <v>100</v>
      </c>
      <c r="I28" s="383"/>
      <c r="J28" s="384">
        <f>SUMIF(92:92,I28,93:93)-SUMIF(92:92,C28,93:93)+100</f>
        <v>100</v>
      </c>
      <c r="K28" s="1891"/>
      <c r="L28" s="2719"/>
      <c r="M28" s="2713"/>
      <c r="N28" s="2713"/>
      <c r="O28" s="2713"/>
      <c r="P28" s="3704"/>
      <c r="Q28" s="1349">
        <f t="shared" si="11"/>
        <v>111</v>
      </c>
      <c r="R28" s="703" t="s">
        <v>18</v>
      </c>
      <c r="S28" s="704">
        <f t="shared" si="12"/>
        <v>100</v>
      </c>
      <c r="T28" s="703" t="s">
        <v>18</v>
      </c>
      <c r="U28" s="704">
        <f t="shared" si="13"/>
        <v>100</v>
      </c>
      <c r="V28" s="703" t="s">
        <v>18</v>
      </c>
      <c r="W28" s="704">
        <f t="shared" si="14"/>
        <v>100</v>
      </c>
      <c r="X28" s="1352"/>
      <c r="Y28" s="3697"/>
      <c r="Z28" s="1353">
        <f t="shared" ref="Z28:Z46" si="18">Q28</f>
        <v>111</v>
      </c>
      <c r="AA28" s="1350">
        <f t="shared" si="15"/>
        <v>1</v>
      </c>
      <c r="AB28" s="1350">
        <f t="shared" si="16"/>
        <v>1</v>
      </c>
      <c r="AC28" s="1350">
        <f t="shared" si="17"/>
        <v>1</v>
      </c>
    </row>
    <row r="29" spans="1:29" ht="15">
      <c r="A29" s="377"/>
      <c r="B29" s="1130">
        <v>111</v>
      </c>
      <c r="C29" s="383"/>
      <c r="D29" s="384">
        <v>100</v>
      </c>
      <c r="E29" s="383"/>
      <c r="F29" s="384">
        <f>SUMIF(94:94,E29,95:95)-SUMIF(94:94,C29,95:95)+100</f>
        <v>100</v>
      </c>
      <c r="G29" s="1905"/>
      <c r="H29" s="384">
        <f>SUMIF(94:94,G29,95:95)-SUMIF(94:94,C29,95:95)+100</f>
        <v>100</v>
      </c>
      <c r="I29" s="383"/>
      <c r="J29" s="384">
        <f>SUMIF(94:94,I29,95:95)-SUMIF(94:94,C29,95:95)+100</f>
        <v>100</v>
      </c>
      <c r="K29" s="1891"/>
      <c r="L29" s="2719"/>
      <c r="M29" s="2713"/>
      <c r="N29" s="2713"/>
      <c r="O29" s="2713"/>
      <c r="P29" s="3704"/>
      <c r="Q29" s="1349">
        <f t="shared" si="11"/>
        <v>111</v>
      </c>
      <c r="R29" s="703" t="s">
        <v>18</v>
      </c>
      <c r="S29" s="704">
        <f t="shared" si="12"/>
        <v>100</v>
      </c>
      <c r="T29" s="703" t="s">
        <v>18</v>
      </c>
      <c r="U29" s="704">
        <f t="shared" si="13"/>
        <v>100</v>
      </c>
      <c r="V29" s="703" t="s">
        <v>18</v>
      </c>
      <c r="W29" s="704">
        <f t="shared" si="14"/>
        <v>100</v>
      </c>
      <c r="X29" s="1352"/>
      <c r="Y29" s="3697"/>
      <c r="Z29" s="1353">
        <f t="shared" si="18"/>
        <v>111</v>
      </c>
      <c r="AA29" s="1350">
        <f t="shared" si="15"/>
        <v>1</v>
      </c>
      <c r="AB29" s="1350">
        <f t="shared" si="16"/>
        <v>1</v>
      </c>
      <c r="AC29" s="1350">
        <f t="shared" si="17"/>
        <v>1</v>
      </c>
    </row>
    <row r="30" spans="1:29" ht="15">
      <c r="A30" s="377"/>
      <c r="B30" s="1130">
        <v>111</v>
      </c>
      <c r="C30" s="383"/>
      <c r="D30" s="384">
        <v>100</v>
      </c>
      <c r="E30" s="383"/>
      <c r="F30" s="384">
        <f>SUMIF(96:96,E30,97:97)-SUMIF(96:96,C30,97:97)+100</f>
        <v>100</v>
      </c>
      <c r="G30" s="1905"/>
      <c r="H30" s="384">
        <f>SUMIF(96:96,G30,97:97)-SUMIF(96:96,C30,97:97)+100</f>
        <v>100</v>
      </c>
      <c r="I30" s="383"/>
      <c r="J30" s="384">
        <f>SUMIF(96:96,I30,97:97)-SUMIF(96:96,C30,97:97)+100</f>
        <v>100</v>
      </c>
      <c r="K30" s="1891"/>
      <c r="L30" s="2719"/>
      <c r="M30" s="2713"/>
      <c r="N30" s="2713"/>
      <c r="O30" s="2713"/>
      <c r="P30" s="3704"/>
      <c r="Q30" s="1349">
        <f t="shared" si="11"/>
        <v>111</v>
      </c>
      <c r="R30" s="703" t="s">
        <v>18</v>
      </c>
      <c r="S30" s="704">
        <f t="shared" si="12"/>
        <v>100</v>
      </c>
      <c r="T30" s="703" t="s">
        <v>18</v>
      </c>
      <c r="U30" s="704">
        <f t="shared" si="13"/>
        <v>100</v>
      </c>
      <c r="V30" s="703" t="s">
        <v>18</v>
      </c>
      <c r="W30" s="704">
        <f t="shared" si="14"/>
        <v>100</v>
      </c>
      <c r="X30" s="1352"/>
      <c r="Y30" s="3697"/>
      <c r="Z30" s="1353">
        <f t="shared" si="18"/>
        <v>111</v>
      </c>
      <c r="AA30" s="1350">
        <f t="shared" si="15"/>
        <v>1</v>
      </c>
      <c r="AB30" s="1350">
        <f t="shared" si="16"/>
        <v>1</v>
      </c>
      <c r="AC30" s="1350">
        <f t="shared" si="17"/>
        <v>1</v>
      </c>
    </row>
    <row r="31" spans="1:29" ht="15.6" thickBot="1">
      <c r="A31" s="385"/>
      <c r="B31" s="1130">
        <v>111</v>
      </c>
      <c r="C31" s="386"/>
      <c r="D31" s="387">
        <v>100</v>
      </c>
      <c r="E31" s="386"/>
      <c r="F31" s="387">
        <f>SUMIF(98:98,E31,99:99)-SUMIF(98:98,C31,99:99)+100</f>
        <v>100</v>
      </c>
      <c r="G31" s="1906"/>
      <c r="H31" s="387">
        <f>SUMIF(98:98,G31,99:99)-SUMIF(98:98,C31,99:99)+100</f>
        <v>100</v>
      </c>
      <c r="I31" s="386"/>
      <c r="J31" s="387">
        <f>SUMIF(98:98,I31,99:99)-SUMIF(98:98,C31,99:99)+100</f>
        <v>100</v>
      </c>
      <c r="K31" s="1891"/>
      <c r="L31" s="2719"/>
      <c r="M31" s="2713"/>
      <c r="N31" s="2713"/>
      <c r="O31" s="2713"/>
      <c r="P31" s="3704"/>
      <c r="Q31" s="1349">
        <f t="shared" si="11"/>
        <v>111</v>
      </c>
      <c r="R31" s="703" t="s">
        <v>18</v>
      </c>
      <c r="S31" s="704">
        <f t="shared" si="12"/>
        <v>100</v>
      </c>
      <c r="T31" s="703" t="s">
        <v>18</v>
      </c>
      <c r="U31" s="704">
        <f t="shared" si="13"/>
        <v>100</v>
      </c>
      <c r="V31" s="703" t="s">
        <v>18</v>
      </c>
      <c r="W31" s="704">
        <f t="shared" si="14"/>
        <v>100</v>
      </c>
      <c r="X31" s="1352"/>
      <c r="Y31" s="3697"/>
      <c r="Z31" s="1353">
        <f t="shared" si="18"/>
        <v>111</v>
      </c>
      <c r="AA31" s="1350">
        <f t="shared" si="15"/>
        <v>1</v>
      </c>
      <c r="AB31" s="1350">
        <f t="shared" si="16"/>
        <v>1</v>
      </c>
      <c r="AC31" s="1350">
        <f t="shared" si="17"/>
        <v>1</v>
      </c>
    </row>
    <row r="32" spans="1:29" ht="15">
      <c r="A32" s="389" t="s">
        <v>1694</v>
      </c>
      <c r="B32" s="63" t="s">
        <v>1695</v>
      </c>
      <c r="C32" s="1907"/>
      <c r="D32" s="416">
        <v>100</v>
      </c>
      <c r="E32" s="1908"/>
      <c r="F32" s="410">
        <f>SUMIF(100:100,E32,101:101)-SUMIF(100:100,C32,101:101)+100</f>
        <v>100</v>
      </c>
      <c r="G32" s="1907"/>
      <c r="H32" s="416">
        <f>SUMIF(100:100,G32,101:101)-SUMIF(100:100,C32,101:101)+100</f>
        <v>100</v>
      </c>
      <c r="I32" s="1908"/>
      <c r="J32" s="384">
        <f>SUMIF(100:100,I32,101:101)-SUMIF(100:100,C32,101:101)+100</f>
        <v>100</v>
      </c>
      <c r="K32" s="375"/>
      <c r="L32" s="2719"/>
      <c r="M32" s="2713"/>
      <c r="N32" s="2713"/>
      <c r="O32" s="2713"/>
      <c r="P32" s="3698" t="s">
        <v>1696</v>
      </c>
      <c r="Q32" s="1349" t="str">
        <f t="shared" si="11"/>
        <v>建筑类型</v>
      </c>
      <c r="R32" s="703" t="s">
        <v>18</v>
      </c>
      <c r="S32" s="704">
        <f t="shared" si="12"/>
        <v>100</v>
      </c>
      <c r="T32" s="703" t="s">
        <v>18</v>
      </c>
      <c r="U32" s="704">
        <f t="shared" si="13"/>
        <v>100</v>
      </c>
      <c r="V32" s="703" t="s">
        <v>18</v>
      </c>
      <c r="W32" s="704">
        <f t="shared" si="14"/>
        <v>100</v>
      </c>
      <c r="X32" s="1352"/>
      <c r="Y32" s="3701" t="s">
        <v>1696</v>
      </c>
      <c r="Z32" s="1353" t="str">
        <f t="shared" si="18"/>
        <v>建筑类型</v>
      </c>
      <c r="AA32" s="1350">
        <f t="shared" si="15"/>
        <v>1</v>
      </c>
      <c r="AB32" s="1350">
        <f t="shared" si="16"/>
        <v>1</v>
      </c>
      <c r="AC32" s="1350">
        <f t="shared" si="17"/>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9"/>
      <c r="J33" s="125" t="e">
        <f>LOOKUP(I33,103:103,104:104)-LOOKUP(C33,103:103,104:104)+100</f>
        <v>#N/A</v>
      </c>
      <c r="K33" s="1891"/>
      <c r="L33" s="2718"/>
      <c r="M33" s="2720"/>
      <c r="N33" s="2720"/>
      <c r="O33" s="2720"/>
      <c r="P33" s="3699"/>
      <c r="Q33" s="705" t="str">
        <f t="shared" si="11"/>
        <v>项目建筑规模</v>
      </c>
      <c r="R33" s="706" t="s">
        <v>18</v>
      </c>
      <c r="S33" s="707" t="e">
        <f t="shared" si="12"/>
        <v>#N/A</v>
      </c>
      <c r="T33" s="706" t="s">
        <v>18</v>
      </c>
      <c r="U33" s="707" t="e">
        <f t="shared" si="13"/>
        <v>#N/A</v>
      </c>
      <c r="V33" s="706" t="s">
        <v>18</v>
      </c>
      <c r="W33" s="707" t="e">
        <f t="shared" si="14"/>
        <v>#N/A</v>
      </c>
      <c r="X33" s="708"/>
      <c r="Y33" s="3701"/>
      <c r="Z33" s="709" t="str">
        <f t="shared" si="18"/>
        <v>项目建筑规模</v>
      </c>
      <c r="AA33" s="1350" t="e">
        <f t="shared" si="15"/>
        <v>#N/A</v>
      </c>
      <c r="AB33" s="1350" t="e">
        <f t="shared" si="16"/>
        <v>#N/A</v>
      </c>
      <c r="AC33" s="1350" t="e">
        <f t="shared" si="17"/>
        <v>#N/A</v>
      </c>
    </row>
    <row r="34" spans="1:29" ht="15">
      <c r="A34" s="421"/>
      <c r="B34" s="373" t="s">
        <v>1698</v>
      </c>
      <c r="C34" s="1909"/>
      <c r="D34" s="384">
        <v>100</v>
      </c>
      <c r="E34" s="1910"/>
      <c r="F34" s="410">
        <f>SUMIF(105:105,E34,106:106)-SUMIF(105:105,C34,106:106)+100</f>
        <v>100</v>
      </c>
      <c r="G34" s="1909"/>
      <c r="H34" s="384">
        <f>SUMIF(105:105,G34,106:106)-SUMIF(105:105,C34,106:106)+100</f>
        <v>100</v>
      </c>
      <c r="I34" s="1910"/>
      <c r="J34" s="384">
        <f>SUMIF(105:105,I34,106:106)-SUMIF(105:105,C34,106:106)+100</f>
        <v>100</v>
      </c>
      <c r="K34" s="375"/>
      <c r="L34" s="2719"/>
      <c r="M34" s="2713"/>
      <c r="N34" s="2713"/>
      <c r="O34" s="2713"/>
      <c r="P34" s="3699"/>
      <c r="Q34" s="1349" t="str">
        <f t="shared" si="11"/>
        <v>建筑结构</v>
      </c>
      <c r="R34" s="703" t="s">
        <v>18</v>
      </c>
      <c r="S34" s="704">
        <f t="shared" si="12"/>
        <v>100</v>
      </c>
      <c r="T34" s="703" t="s">
        <v>18</v>
      </c>
      <c r="U34" s="704">
        <f t="shared" si="13"/>
        <v>100</v>
      </c>
      <c r="V34" s="703" t="s">
        <v>18</v>
      </c>
      <c r="W34" s="704">
        <f t="shared" si="14"/>
        <v>100</v>
      </c>
      <c r="X34" s="1352"/>
      <c r="Y34" s="3701"/>
      <c r="Z34" s="1353" t="str">
        <f t="shared" si="18"/>
        <v>建筑结构</v>
      </c>
      <c r="AA34" s="1350">
        <f t="shared" si="15"/>
        <v>1</v>
      </c>
      <c r="AB34" s="1350">
        <f t="shared" si="16"/>
        <v>1</v>
      </c>
      <c r="AC34" s="1350">
        <f t="shared" si="17"/>
        <v>1</v>
      </c>
    </row>
    <row r="35" spans="1:29" ht="15">
      <c r="A35" s="421"/>
      <c r="B35" s="373" t="s">
        <v>1699</v>
      </c>
      <c r="C35" s="1903"/>
      <c r="D35" s="384">
        <v>100</v>
      </c>
      <c r="E35" s="1904"/>
      <c r="F35" s="410">
        <f>SUMIF(107:107,E35,108:108)-SUMIF(107:107,C35,108:108)+100</f>
        <v>100</v>
      </c>
      <c r="G35" s="1903"/>
      <c r="H35" s="384">
        <f>SUMIF(107:107,G35,108:108)-SUMIF(107:107,C35,108:108)+100</f>
        <v>100</v>
      </c>
      <c r="I35" s="1904"/>
      <c r="J35" s="384">
        <f>SUMIF(107:107,I35,108:108)-SUMIF(107:107,C35,108:108)+100</f>
        <v>100</v>
      </c>
      <c r="K35" s="375"/>
      <c r="L35" s="2719"/>
      <c r="M35" s="2713"/>
      <c r="N35" s="2713"/>
      <c r="O35" s="2713"/>
      <c r="P35" s="3699"/>
      <c r="Q35" s="1349" t="str">
        <f t="shared" si="11"/>
        <v>建筑品质</v>
      </c>
      <c r="R35" s="703" t="s">
        <v>18</v>
      </c>
      <c r="S35" s="704">
        <f t="shared" si="12"/>
        <v>100</v>
      </c>
      <c r="T35" s="703" t="s">
        <v>18</v>
      </c>
      <c r="U35" s="704">
        <f t="shared" si="13"/>
        <v>100</v>
      </c>
      <c r="V35" s="703" t="s">
        <v>18</v>
      </c>
      <c r="W35" s="704">
        <f t="shared" si="14"/>
        <v>100</v>
      </c>
      <c r="X35" s="1352"/>
      <c r="Y35" s="3701"/>
      <c r="Z35" s="1353" t="str">
        <f t="shared" si="18"/>
        <v>建筑品质</v>
      </c>
      <c r="AA35" s="1350">
        <f t="shared" si="15"/>
        <v>1</v>
      </c>
      <c r="AB35" s="1350">
        <f t="shared" si="16"/>
        <v>1</v>
      </c>
      <c r="AC35" s="1350">
        <f t="shared" si="17"/>
        <v>1</v>
      </c>
    </row>
    <row r="36" spans="1:29" ht="15">
      <c r="A36" s="421"/>
      <c r="B36" s="373" t="s">
        <v>1700</v>
      </c>
      <c r="C36" s="1903"/>
      <c r="D36" s="384">
        <v>100</v>
      </c>
      <c r="E36" s="1904"/>
      <c r="F36" s="410">
        <f>SUMIF(109:109,E36,110:110)-SUMIF(109:109,C36,110:110)+100</f>
        <v>100</v>
      </c>
      <c r="G36" s="1903"/>
      <c r="H36" s="384">
        <f>SUMIF(109:109,G36,110:110)-SUMIF(109:109,C36,110:110)+100</f>
        <v>100</v>
      </c>
      <c r="I36" s="1904"/>
      <c r="J36" s="384">
        <f>SUMIF(109:109,I36,110:110)-SUMIF(109:109,C36,110:110)+100</f>
        <v>100</v>
      </c>
      <c r="K36" s="375"/>
      <c r="L36" s="2719"/>
      <c r="M36" s="2713"/>
      <c r="N36" s="2713"/>
      <c r="O36" s="2713"/>
      <c r="P36" s="3699"/>
      <c r="Q36" s="1349" t="str">
        <f t="shared" si="11"/>
        <v>公共部分装修</v>
      </c>
      <c r="R36" s="703" t="s">
        <v>18</v>
      </c>
      <c r="S36" s="704">
        <f t="shared" si="12"/>
        <v>100</v>
      </c>
      <c r="T36" s="703" t="s">
        <v>18</v>
      </c>
      <c r="U36" s="704">
        <f t="shared" si="13"/>
        <v>100</v>
      </c>
      <c r="V36" s="703" t="s">
        <v>18</v>
      </c>
      <c r="W36" s="704">
        <f t="shared" si="14"/>
        <v>100</v>
      </c>
      <c r="X36" s="1352"/>
      <c r="Y36" s="3701"/>
      <c r="Z36" s="1353" t="str">
        <f t="shared" si="18"/>
        <v>公共部分装修</v>
      </c>
      <c r="AA36" s="1350">
        <f t="shared" si="15"/>
        <v>1</v>
      </c>
      <c r="AB36" s="1350">
        <f t="shared" si="16"/>
        <v>1</v>
      </c>
      <c r="AC36" s="1350">
        <f t="shared" si="17"/>
        <v>1</v>
      </c>
    </row>
    <row r="37" spans="1:29" s="107" customFormat="1" ht="15">
      <c r="A37" s="422"/>
      <c r="B37" s="373" t="s">
        <v>1701</v>
      </c>
      <c r="C37" s="423"/>
      <c r="D37" s="125">
        <v>100</v>
      </c>
      <c r="E37" s="423"/>
      <c r="F37" s="374" t="e">
        <f>LOOKUP(E37,112:112,113:113)-LOOKUP(C37,112:112,113:113)+100</f>
        <v>#N/A</v>
      </c>
      <c r="G37" s="425"/>
      <c r="H37" s="125" t="e">
        <f>LOOKUP(G37,112:112,113:113)-LOOKUP(C37,112:112,113:113)+100</f>
        <v>#N/A</v>
      </c>
      <c r="I37" s="424"/>
      <c r="J37" s="125" t="e">
        <f>LOOKUP(I37,112:112,113:113)-LOOKUP(C37,112:112,113:113)+100</f>
        <v>#N/A</v>
      </c>
      <c r="K37" s="375"/>
      <c r="L37" s="2714"/>
      <c r="M37" s="2715"/>
      <c r="N37" s="2715"/>
      <c r="O37" s="2715"/>
      <c r="P37" s="3699"/>
      <c r="Q37" s="1340" t="str">
        <f t="shared" si="11"/>
        <v>成新度</v>
      </c>
      <c r="R37" s="699" t="s">
        <v>18</v>
      </c>
      <c r="S37" s="700" t="e">
        <f t="shared" si="12"/>
        <v>#N/A</v>
      </c>
      <c r="T37" s="699" t="s">
        <v>18</v>
      </c>
      <c r="U37" s="700" t="e">
        <f t="shared" si="13"/>
        <v>#N/A</v>
      </c>
      <c r="V37" s="699" t="s">
        <v>18</v>
      </c>
      <c r="W37" s="700" t="e">
        <f t="shared" si="14"/>
        <v>#N/A</v>
      </c>
      <c r="X37" s="701"/>
      <c r="Y37" s="3701"/>
      <c r="Z37" s="52" t="str">
        <f t="shared" si="18"/>
        <v>成新度</v>
      </c>
      <c r="AA37" s="702" t="e">
        <f t="shared" si="15"/>
        <v>#N/A</v>
      </c>
      <c r="AB37" s="702" t="e">
        <f t="shared" si="16"/>
        <v>#N/A</v>
      </c>
      <c r="AC37" s="702" t="e">
        <f t="shared" si="17"/>
        <v>#N/A</v>
      </c>
    </row>
    <row r="38" spans="1:29" ht="15">
      <c r="A38" s="421"/>
      <c r="B38" s="373" t="s">
        <v>1702</v>
      </c>
      <c r="C38" s="1903"/>
      <c r="D38" s="384">
        <v>100</v>
      </c>
      <c r="E38" s="1904"/>
      <c r="F38" s="410">
        <f>SUMIF(114:114,E38,115:115)-SUMIF(114:114,C38,115:115)+100</f>
        <v>100</v>
      </c>
      <c r="G38" s="1903"/>
      <c r="H38" s="384">
        <f>SUMIF(114:114,G38,115:115)-SUMIF(114:114,C38,115:115)+100</f>
        <v>100</v>
      </c>
      <c r="I38" s="1904"/>
      <c r="J38" s="384">
        <f>SUMIF(114:114,I38,115:115)-SUMIF(114:114,C38,115:115)+100</f>
        <v>100</v>
      </c>
      <c r="K38" s="375"/>
      <c r="L38" s="2719"/>
      <c r="M38" s="2713"/>
      <c r="N38" s="2713"/>
      <c r="O38" s="2713"/>
      <c r="P38" s="3699" t="s">
        <v>1696</v>
      </c>
      <c r="Q38" s="1349" t="str">
        <f t="shared" si="11"/>
        <v>物业管理</v>
      </c>
      <c r="R38" s="703" t="s">
        <v>18</v>
      </c>
      <c r="S38" s="704">
        <f t="shared" si="12"/>
        <v>100</v>
      </c>
      <c r="T38" s="703" t="s">
        <v>18</v>
      </c>
      <c r="U38" s="704">
        <f t="shared" si="13"/>
        <v>100</v>
      </c>
      <c r="V38" s="703" t="s">
        <v>18</v>
      </c>
      <c r="W38" s="704">
        <f t="shared" si="14"/>
        <v>100</v>
      </c>
      <c r="X38" s="1352"/>
      <c r="Y38" s="3701" t="s">
        <v>1696</v>
      </c>
      <c r="Z38" s="1353" t="str">
        <f t="shared" si="18"/>
        <v>物业管理</v>
      </c>
      <c r="AA38" s="1350">
        <f t="shared" si="15"/>
        <v>1</v>
      </c>
      <c r="AB38" s="1350">
        <f t="shared" si="16"/>
        <v>1</v>
      </c>
      <c r="AC38" s="1350">
        <f t="shared" si="17"/>
        <v>1</v>
      </c>
    </row>
    <row r="39" spans="1:29" ht="15">
      <c r="A39" s="421"/>
      <c r="B39" s="373" t="s">
        <v>1703</v>
      </c>
      <c r="C39" s="1903"/>
      <c r="D39" s="384">
        <v>100</v>
      </c>
      <c r="E39" s="1904"/>
      <c r="F39" s="410">
        <f>SUMIF(116:116,E39,117:117)-SUMIF(116:116,C39,117:117)+100</f>
        <v>100</v>
      </c>
      <c r="G39" s="1903"/>
      <c r="H39" s="384">
        <f>SUMIF(116:116,G39,117:117)-SUMIF(116:116,C39,117:117)+100</f>
        <v>100</v>
      </c>
      <c r="I39" s="1904"/>
      <c r="J39" s="384">
        <f>SUMIF(116:116,I39,117:117)-SUMIF(116:116,C39,117:117)+100</f>
        <v>100</v>
      </c>
      <c r="K39" s="375"/>
      <c r="L39" s="2719"/>
      <c r="M39" s="2713"/>
      <c r="N39" s="2713"/>
      <c r="O39" s="2713"/>
      <c r="P39" s="3699"/>
      <c r="Q39" s="1349" t="str">
        <f t="shared" si="11"/>
        <v>市政基础设施</v>
      </c>
      <c r="R39" s="703" t="s">
        <v>18</v>
      </c>
      <c r="S39" s="704">
        <f t="shared" si="12"/>
        <v>100</v>
      </c>
      <c r="T39" s="703" t="s">
        <v>18</v>
      </c>
      <c r="U39" s="704">
        <f t="shared" si="13"/>
        <v>100</v>
      </c>
      <c r="V39" s="703" t="s">
        <v>18</v>
      </c>
      <c r="W39" s="704">
        <f t="shared" si="14"/>
        <v>100</v>
      </c>
      <c r="X39" s="1352"/>
      <c r="Y39" s="3701"/>
      <c r="Z39" s="1353" t="str">
        <f t="shared" si="18"/>
        <v>市政基础设施</v>
      </c>
      <c r="AA39" s="1350">
        <f t="shared" si="15"/>
        <v>1</v>
      </c>
      <c r="AB39" s="1350">
        <f t="shared" si="16"/>
        <v>1</v>
      </c>
      <c r="AC39" s="1350">
        <f t="shared" si="17"/>
        <v>1</v>
      </c>
    </row>
    <row r="40" spans="1:29" ht="15">
      <c r="A40" s="421"/>
      <c r="B40" s="373" t="s">
        <v>1704</v>
      </c>
      <c r="C40" s="1903"/>
      <c r="D40" s="384">
        <v>100</v>
      </c>
      <c r="E40" s="1904"/>
      <c r="F40" s="410">
        <f>SUMIF(118:118,E40,119:119)-SUMIF(118:118,C40,119:119)+100</f>
        <v>100</v>
      </c>
      <c r="G40" s="1903"/>
      <c r="H40" s="384">
        <f>SUMIF(118:118,G40,119:119)-SUMIF(118:118,C40,119:119)+100</f>
        <v>100</v>
      </c>
      <c r="I40" s="1904"/>
      <c r="J40" s="384">
        <f>SUMIF(118:118,I40,119:119)-SUMIF(118:118,C40,119:119)+100</f>
        <v>100</v>
      </c>
      <c r="K40" s="375"/>
      <c r="L40" s="2719"/>
      <c r="M40" s="2713"/>
      <c r="N40" s="2713"/>
      <c r="O40" s="2713"/>
      <c r="P40" s="3699"/>
      <c r="Q40" s="1349" t="str">
        <f t="shared" si="11"/>
        <v>房型</v>
      </c>
      <c r="R40" s="703" t="s">
        <v>18</v>
      </c>
      <c r="S40" s="704">
        <f t="shared" si="12"/>
        <v>100</v>
      </c>
      <c r="T40" s="703" t="s">
        <v>18</v>
      </c>
      <c r="U40" s="704">
        <f t="shared" si="13"/>
        <v>100</v>
      </c>
      <c r="V40" s="703" t="s">
        <v>18</v>
      </c>
      <c r="W40" s="704">
        <f t="shared" si="14"/>
        <v>100</v>
      </c>
      <c r="X40" s="1352"/>
      <c r="Y40" s="3701"/>
      <c r="Z40" s="1353" t="str">
        <f t="shared" si="18"/>
        <v>房型</v>
      </c>
      <c r="AA40" s="1350">
        <f t="shared" si="15"/>
        <v>1</v>
      </c>
      <c r="AB40" s="1350">
        <f t="shared" si="16"/>
        <v>1</v>
      </c>
      <c r="AC40" s="1350">
        <f t="shared" si="17"/>
        <v>1</v>
      </c>
    </row>
    <row r="41" spans="1:29" s="420" customFormat="1" ht="28.8">
      <c r="A41" s="417"/>
      <c r="B41" s="373" t="s">
        <v>1705</v>
      </c>
      <c r="C41" s="418"/>
      <c r="D41" s="125">
        <v>100</v>
      </c>
      <c r="E41" s="379"/>
      <c r="F41" s="374">
        <f>SUMIF(120:120,E41,121:121)-SUMIF(120:120,C41,121:121)+100</f>
        <v>100</v>
      </c>
      <c r="G41" s="378"/>
      <c r="H41" s="125">
        <f>SUMIF(120:120,G41,121:121)-SUMIF(120:120,C41,121:121)+100</f>
        <v>100</v>
      </c>
      <c r="I41" s="426"/>
      <c r="J41" s="384">
        <f>SUMIF(120:120,I41,121:121)-SUMIF(120:120,C41,121:121)+100</f>
        <v>100</v>
      </c>
      <c r="K41" s="1891"/>
      <c r="L41" s="2718"/>
      <c r="M41" s="2720"/>
      <c r="N41" s="2720"/>
      <c r="O41" s="2720"/>
      <c r="P41" s="3699"/>
      <c r="Q41" s="705" t="str">
        <f t="shared" si="11"/>
        <v>单套/主力户型建筑面积</v>
      </c>
      <c r="R41" s="706" t="s">
        <v>18</v>
      </c>
      <c r="S41" s="707">
        <f t="shared" si="12"/>
        <v>100</v>
      </c>
      <c r="T41" s="706" t="s">
        <v>18</v>
      </c>
      <c r="U41" s="707">
        <f t="shared" si="13"/>
        <v>100</v>
      </c>
      <c r="V41" s="706" t="s">
        <v>18</v>
      </c>
      <c r="W41" s="707">
        <f t="shared" si="14"/>
        <v>100</v>
      </c>
      <c r="X41" s="708"/>
      <c r="Y41" s="3701"/>
      <c r="Z41" s="709" t="str">
        <f t="shared" si="18"/>
        <v>单套/主力户型建筑面积</v>
      </c>
      <c r="AA41" s="1350">
        <f t="shared" si="15"/>
        <v>1</v>
      </c>
      <c r="AB41" s="1350">
        <f t="shared" si="16"/>
        <v>1</v>
      </c>
      <c r="AC41" s="1350">
        <f t="shared" si="17"/>
        <v>1</v>
      </c>
    </row>
    <row r="42" spans="1:29" ht="15">
      <c r="A42" s="421"/>
      <c r="B42" s="373" t="s">
        <v>1706</v>
      </c>
      <c r="C42" s="1903"/>
      <c r="D42" s="384">
        <v>100</v>
      </c>
      <c r="E42" s="1904"/>
      <c r="F42" s="410">
        <f>SUMIF(122:122,E42,123:123)-SUMIF(122:122,C42,123:123)+100</f>
        <v>100</v>
      </c>
      <c r="G42" s="1903"/>
      <c r="H42" s="384">
        <f>SUMIF(122:122,G42,123:123)-SUMIF(122:122,C42,123:123)+100</f>
        <v>100</v>
      </c>
      <c r="I42" s="1904"/>
      <c r="J42" s="384">
        <f>SUMIF(122:122,I42,123:123)-SUMIF(122:122,C42,123:123)+100</f>
        <v>100</v>
      </c>
      <c r="K42" s="375"/>
      <c r="L42" s="2719"/>
      <c r="M42" s="2713"/>
      <c r="N42" s="2713"/>
      <c r="O42" s="2713"/>
      <c r="P42" s="3699"/>
      <c r="Q42" s="1349" t="str">
        <f t="shared" si="11"/>
        <v>内部装修</v>
      </c>
      <c r="R42" s="703" t="s">
        <v>18</v>
      </c>
      <c r="S42" s="704">
        <f t="shared" si="12"/>
        <v>100</v>
      </c>
      <c r="T42" s="703" t="s">
        <v>18</v>
      </c>
      <c r="U42" s="704">
        <f t="shared" si="13"/>
        <v>100</v>
      </c>
      <c r="V42" s="703" t="s">
        <v>18</v>
      </c>
      <c r="W42" s="704">
        <f t="shared" si="14"/>
        <v>100</v>
      </c>
      <c r="X42" s="1352"/>
      <c r="Y42" s="3701"/>
      <c r="Z42" s="1353" t="str">
        <f t="shared" si="18"/>
        <v>内部装修</v>
      </c>
      <c r="AA42" s="1350">
        <f t="shared" si="15"/>
        <v>1</v>
      </c>
      <c r="AB42" s="1350">
        <f t="shared" si="16"/>
        <v>1</v>
      </c>
      <c r="AC42" s="1350">
        <f t="shared" si="17"/>
        <v>1</v>
      </c>
    </row>
    <row r="43" spans="1:29" ht="28.8">
      <c r="A43" s="421"/>
      <c r="B43" s="373" t="s">
        <v>1707</v>
      </c>
      <c r="C43" s="1903"/>
      <c r="D43" s="384">
        <v>100</v>
      </c>
      <c r="E43" s="1904"/>
      <c r="F43" s="410">
        <f>SUMIF(124:124,E43,125:125)-SUMIF(124:124,C43,125:125)+100</f>
        <v>100</v>
      </c>
      <c r="G43" s="1903"/>
      <c r="H43" s="384">
        <f>SUMIF(124:124,G43,125:125)-SUMIF(124:124,C43,125:125)+100</f>
        <v>100</v>
      </c>
      <c r="I43" s="1904"/>
      <c r="J43" s="384">
        <f>SUMIF(124:124,I43,125:125)-SUMIF(124:124,C43,125:125)+100</f>
        <v>100</v>
      </c>
      <c r="K43" s="375"/>
      <c r="L43" s="2719"/>
      <c r="M43" s="2713"/>
      <c r="N43" s="2713"/>
      <c r="O43" s="2713"/>
      <c r="P43" s="3699"/>
      <c r="Q43" s="1349" t="str">
        <f t="shared" si="11"/>
        <v>内部装修维护情况</v>
      </c>
      <c r="R43" s="703" t="s">
        <v>18</v>
      </c>
      <c r="S43" s="704">
        <f t="shared" si="12"/>
        <v>100</v>
      </c>
      <c r="T43" s="703" t="s">
        <v>18</v>
      </c>
      <c r="U43" s="704">
        <f t="shared" si="13"/>
        <v>100</v>
      </c>
      <c r="V43" s="703" t="s">
        <v>18</v>
      </c>
      <c r="W43" s="704">
        <f t="shared" si="14"/>
        <v>100</v>
      </c>
      <c r="X43" s="1352"/>
      <c r="Y43" s="3701"/>
      <c r="Z43" s="1353" t="str">
        <f t="shared" si="18"/>
        <v>内部装修维护情况</v>
      </c>
      <c r="AA43" s="1350">
        <f t="shared" si="15"/>
        <v>1</v>
      </c>
      <c r="AB43" s="1350">
        <f t="shared" si="16"/>
        <v>1</v>
      </c>
      <c r="AC43" s="1350">
        <f t="shared" si="17"/>
        <v>1</v>
      </c>
    </row>
    <row r="44" spans="1:29" s="107" customFormat="1" ht="15">
      <c r="A44" s="422"/>
      <c r="B44" s="1130">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91"/>
      <c r="L44" s="2714"/>
      <c r="M44" s="2715"/>
      <c r="N44" s="2715"/>
      <c r="O44" s="2715"/>
      <c r="P44" s="3699"/>
      <c r="Q44" s="1340">
        <f t="shared" si="11"/>
        <v>111</v>
      </c>
      <c r="R44" s="699" t="s">
        <v>18</v>
      </c>
      <c r="S44" s="700">
        <f t="shared" si="12"/>
        <v>100</v>
      </c>
      <c r="T44" s="699" t="s">
        <v>18</v>
      </c>
      <c r="U44" s="700">
        <f t="shared" si="13"/>
        <v>100</v>
      </c>
      <c r="V44" s="699" t="s">
        <v>18</v>
      </c>
      <c r="W44" s="700">
        <f t="shared" si="14"/>
        <v>100</v>
      </c>
      <c r="X44" s="701"/>
      <c r="Y44" s="3701"/>
      <c r="Z44" s="52">
        <f t="shared" si="18"/>
        <v>111</v>
      </c>
      <c r="AA44" s="702">
        <f t="shared" si="15"/>
        <v>1</v>
      </c>
      <c r="AB44" s="702">
        <f t="shared" si="16"/>
        <v>1</v>
      </c>
      <c r="AC44" s="702">
        <f t="shared" si="17"/>
        <v>1</v>
      </c>
    </row>
    <row r="45" spans="1:29" ht="15">
      <c r="A45" s="421"/>
      <c r="B45" s="1130">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91"/>
      <c r="L45" s="2719"/>
      <c r="M45" s="2713"/>
      <c r="N45" s="2713"/>
      <c r="O45" s="2713"/>
      <c r="P45" s="3699"/>
      <c r="Q45" s="1349">
        <f t="shared" si="11"/>
        <v>111</v>
      </c>
      <c r="R45" s="703" t="s">
        <v>18</v>
      </c>
      <c r="S45" s="704">
        <f t="shared" si="12"/>
        <v>100</v>
      </c>
      <c r="T45" s="703" t="s">
        <v>18</v>
      </c>
      <c r="U45" s="704">
        <f t="shared" si="13"/>
        <v>100</v>
      </c>
      <c r="V45" s="703" t="s">
        <v>18</v>
      </c>
      <c r="W45" s="704">
        <f t="shared" si="14"/>
        <v>100</v>
      </c>
      <c r="X45" s="1352"/>
      <c r="Y45" s="3701"/>
      <c r="Z45" s="1353">
        <f t="shared" si="18"/>
        <v>111</v>
      </c>
      <c r="AA45" s="1350">
        <f t="shared" si="15"/>
        <v>1</v>
      </c>
      <c r="AB45" s="1350">
        <f t="shared" si="16"/>
        <v>1</v>
      </c>
      <c r="AC45" s="1350">
        <f t="shared" si="17"/>
        <v>1</v>
      </c>
    </row>
    <row r="46" spans="1:29" ht="15.6" thickBot="1">
      <c r="A46" s="427"/>
      <c r="B46" s="1892">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91"/>
      <c r="L46" s="2719"/>
      <c r="M46" s="2713"/>
      <c r="N46" s="2713"/>
      <c r="O46" s="2713"/>
      <c r="P46" s="3700"/>
      <c r="Q46" s="1349">
        <f t="shared" si="11"/>
        <v>111</v>
      </c>
      <c r="R46" s="703" t="s">
        <v>17</v>
      </c>
      <c r="S46" s="704">
        <f t="shared" si="12"/>
        <v>100</v>
      </c>
      <c r="T46" s="703" t="s">
        <v>17</v>
      </c>
      <c r="U46" s="704">
        <f t="shared" si="13"/>
        <v>100</v>
      </c>
      <c r="V46" s="703" t="s">
        <v>17</v>
      </c>
      <c r="W46" s="704">
        <f t="shared" si="14"/>
        <v>100</v>
      </c>
      <c r="X46" s="1352"/>
      <c r="Y46" s="3702"/>
      <c r="Z46" s="1353">
        <f t="shared" si="18"/>
        <v>111</v>
      </c>
      <c r="AA46" s="1350">
        <f t="shared" si="15"/>
        <v>1</v>
      </c>
      <c r="AB46" s="1350">
        <f t="shared" si="16"/>
        <v>1</v>
      </c>
      <c r="AC46" s="1350">
        <f t="shared" si="17"/>
        <v>1</v>
      </c>
    </row>
    <row r="47" spans="1:29" ht="14.4">
      <c r="A47" s="428" t="s">
        <v>1708</v>
      </c>
      <c r="B47" s="429"/>
      <c r="C47" s="1151" t="s">
        <v>16</v>
      </c>
      <c r="D47" s="1152"/>
      <c r="E47" s="1153"/>
      <c r="F47" s="1154"/>
      <c r="G47" s="1155"/>
      <c r="H47" s="1156"/>
      <c r="I47" s="1153"/>
      <c r="J47" s="1156"/>
      <c r="K47" s="1911"/>
      <c r="L47" s="2721"/>
      <c r="M47" s="2722"/>
      <c r="N47" s="2713"/>
      <c r="O47" s="2722"/>
      <c r="P47" s="3694" t="str">
        <f>A47</f>
        <v>成交单价（元/平方米）</v>
      </c>
      <c r="Q47" s="3694"/>
      <c r="R47" s="3695">
        <f>E47</f>
        <v>0</v>
      </c>
      <c r="S47" s="3695"/>
      <c r="T47" s="3695">
        <f>G47</f>
        <v>0</v>
      </c>
      <c r="U47" s="3695"/>
      <c r="V47" s="3695">
        <f>I47</f>
        <v>0</v>
      </c>
      <c r="W47" s="3695"/>
      <c r="X47" s="688"/>
      <c r="Y47" s="710"/>
      <c r="Z47" s="688"/>
      <c r="AA47" s="688"/>
      <c r="AB47" s="688"/>
      <c r="AC47" s="688"/>
    </row>
    <row r="48" spans="1:29" ht="15" thickBot="1">
      <c r="A48" s="435" t="s">
        <v>1709</v>
      </c>
      <c r="B48" s="436"/>
      <c r="C48" s="1157" t="e">
        <f>R49</f>
        <v>#DIV/0!</v>
      </c>
      <c r="D48" s="2314" t="s">
        <v>2138</v>
      </c>
      <c r="E48" s="1158" t="e">
        <f>R48</f>
        <v>#DIV/0!</v>
      </c>
      <c r="F48" s="2315"/>
      <c r="G48" s="1157" t="e">
        <f>T48</f>
        <v>#DIV/0!</v>
      </c>
      <c r="H48" s="2315"/>
      <c r="I48" s="1158" t="e">
        <f>V48</f>
        <v>#DIV/0!</v>
      </c>
      <c r="J48" s="2315"/>
      <c r="K48" s="2316">
        <f>F48+H48+J48</f>
        <v>0</v>
      </c>
      <c r="L48" s="2721"/>
      <c r="M48" s="2722"/>
      <c r="N48" s="2722"/>
      <c r="O48" s="2722"/>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88"/>
      <c r="Y48" s="688"/>
      <c r="Z48" s="688"/>
      <c r="AA48" s="688"/>
      <c r="AB48" s="688"/>
      <c r="AC48" s="688"/>
    </row>
    <row r="49" spans="1:29" ht="15" thickBot="1">
      <c r="A49" s="439" t="s">
        <v>1710</v>
      </c>
      <c r="B49" s="440"/>
      <c r="C49" s="1159" t="e">
        <f>R49</f>
        <v>#DIV/0!</v>
      </c>
      <c r="D49" s="1160"/>
      <c r="E49" s="1160"/>
      <c r="F49" s="1160"/>
      <c r="G49" s="1160"/>
      <c r="H49" s="1160"/>
      <c r="I49" s="1160"/>
      <c r="J49" s="1160"/>
      <c r="K49" s="1912"/>
      <c r="L49" s="2721"/>
      <c r="M49" s="2722"/>
      <c r="N49" s="2722"/>
      <c r="O49" s="2722"/>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7"/>
      <c r="L52" s="2723"/>
      <c r="M52" s="2722"/>
      <c r="N52" s="2722"/>
      <c r="O52" s="2722"/>
    </row>
    <row r="53" spans="1:29" ht="13.5" customHeight="1">
      <c r="A53" s="2722"/>
      <c r="B53" s="2722"/>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7"/>
      <c r="L53" s="2723"/>
      <c r="M53" s="2722"/>
      <c r="N53" s="2722"/>
      <c r="O53" s="2722"/>
    </row>
    <row r="54" spans="1:29" s="449" customFormat="1" ht="13.5" customHeight="1">
      <c r="A54" s="2725"/>
      <c r="B54" s="2725"/>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30"/>
      <c r="L54" s="2724"/>
      <c r="M54" s="2725"/>
      <c r="N54" s="2725"/>
      <c r="O54" s="2725"/>
      <c r="P54" s="1914"/>
    </row>
    <row r="55" spans="1:29" s="449"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2.2" thickBot="1">
      <c r="A57" s="692" t="s">
        <v>1714</v>
      </c>
      <c r="B57" s="688"/>
      <c r="C57" s="693"/>
      <c r="D57" s="693"/>
      <c r="E57" s="693"/>
      <c r="F57" s="694"/>
      <c r="G57" s="694"/>
      <c r="H57" s="693"/>
      <c r="I57" s="693"/>
      <c r="J57" s="693"/>
      <c r="K57" s="938"/>
      <c r="L57" s="939"/>
      <c r="M57" s="937"/>
      <c r="N57" s="937"/>
      <c r="O57" s="937"/>
      <c r="P57" s="1915"/>
      <c r="Q57" s="451"/>
    </row>
    <row r="58" spans="1:29" s="455" customFormat="1" ht="14.4">
      <c r="A58" s="452" t="s">
        <v>1715</v>
      </c>
      <c r="B58" s="453"/>
      <c r="C58" s="1183" t="str">
        <f>YEAR(C7)&amp;"-"&amp;MONTH(C7)</f>
        <v>2022-12</v>
      </c>
      <c r="D58" s="1182">
        <f>EDATE(C58,-1)</f>
        <v>44866</v>
      </c>
      <c r="E58" s="1182">
        <f>EDATE(D58,-1)</f>
        <v>44835</v>
      </c>
      <c r="F58" s="1182">
        <f t="shared" ref="F58:O58" si="19">EDATE(E58,-1)</f>
        <v>44805</v>
      </c>
      <c r="G58" s="1182">
        <f t="shared" si="19"/>
        <v>44774</v>
      </c>
      <c r="H58" s="1182">
        <f t="shared" si="19"/>
        <v>44743</v>
      </c>
      <c r="I58" s="1182">
        <f t="shared" si="19"/>
        <v>44713</v>
      </c>
      <c r="J58" s="1182">
        <f t="shared" si="19"/>
        <v>44682</v>
      </c>
      <c r="K58" s="1182">
        <f t="shared" si="19"/>
        <v>44652</v>
      </c>
      <c r="L58" s="1182">
        <f t="shared" si="19"/>
        <v>44621</v>
      </c>
      <c r="M58" s="1182">
        <f t="shared" si="19"/>
        <v>44593</v>
      </c>
      <c r="N58" s="1182">
        <f t="shared" si="19"/>
        <v>44562</v>
      </c>
      <c r="O58" s="1182">
        <f t="shared" si="19"/>
        <v>44531</v>
      </c>
      <c r="P58" s="1178"/>
    </row>
    <row r="59" spans="1:29" s="107" customFormat="1">
      <c r="A59" s="456"/>
      <c r="B59" s="1916"/>
      <c r="C59" s="1180">
        <v>100</v>
      </c>
      <c r="D59" s="458"/>
      <c r="E59" s="459"/>
      <c r="F59" s="459"/>
      <c r="G59" s="459"/>
      <c r="H59" s="459"/>
      <c r="I59" s="459"/>
      <c r="J59" s="459"/>
      <c r="K59" s="459"/>
      <c r="L59" s="459"/>
      <c r="M59" s="460"/>
      <c r="N59" s="459"/>
      <c r="O59" s="460"/>
      <c r="P59" s="1917"/>
    </row>
    <row r="60" spans="1:29" s="107" customFormat="1" ht="15" thickBot="1">
      <c r="A60" s="462" t="s">
        <v>1716</v>
      </c>
      <c r="B60" s="463"/>
      <c r="C60" s="464"/>
      <c r="D60" s="465"/>
      <c r="E60" s="465"/>
      <c r="F60" s="465"/>
      <c r="G60" s="465"/>
      <c r="H60" s="465"/>
      <c r="I60" s="465"/>
      <c r="J60" s="465"/>
      <c r="K60" s="465"/>
      <c r="L60" s="465"/>
      <c r="M60" s="466"/>
      <c r="N60" s="465"/>
      <c r="O60" s="466"/>
      <c r="P60" s="1917"/>
      <c r="Q60" s="451"/>
    </row>
    <row r="61" spans="1:29" s="107" customFormat="1" ht="14.4">
      <c r="A61" s="468" t="s">
        <v>1717</v>
      </c>
      <c r="B61" s="457"/>
      <c r="C61" s="469" t="s">
        <v>1718</v>
      </c>
      <c r="D61" s="470"/>
      <c r="E61" s="470"/>
      <c r="F61" s="470"/>
      <c r="G61" s="470"/>
      <c r="H61" s="470"/>
      <c r="I61" s="470"/>
      <c r="J61" s="470"/>
      <c r="K61" s="470"/>
      <c r="L61" s="471"/>
      <c r="M61" s="472"/>
      <c r="N61" s="929"/>
      <c r="O61" s="929"/>
      <c r="P61" s="1918"/>
      <c r="Q61" s="451"/>
    </row>
    <row r="62" spans="1:29" s="107" customFormat="1" ht="14.4" thickBot="1">
      <c r="A62" s="468"/>
      <c r="B62" s="457"/>
      <c r="C62" s="458">
        <v>100</v>
      </c>
      <c r="D62" s="459"/>
      <c r="E62" s="459"/>
      <c r="F62" s="459"/>
      <c r="G62" s="459"/>
      <c r="H62" s="459"/>
      <c r="I62" s="459"/>
      <c r="J62" s="459"/>
      <c r="K62" s="459"/>
      <c r="L62" s="459"/>
      <c r="M62" s="461"/>
      <c r="N62" s="929"/>
      <c r="O62" s="929"/>
      <c r="P62" s="1917"/>
      <c r="Q62" s="451"/>
    </row>
    <row r="63" spans="1:29" ht="14.4">
      <c r="A63" s="474" t="s">
        <v>1719</v>
      </c>
      <c r="B63" s="475" t="s">
        <v>1685</v>
      </c>
      <c r="C63" s="476">
        <f>C9</f>
        <v>0</v>
      </c>
      <c r="D63" s="477"/>
      <c r="E63" s="477"/>
      <c r="F63" s="477"/>
      <c r="G63" s="477"/>
      <c r="H63" s="477"/>
      <c r="I63" s="477"/>
      <c r="J63" s="477"/>
      <c r="K63" s="478"/>
      <c r="L63" s="479"/>
      <c r="M63" s="480"/>
      <c r="N63" s="930"/>
      <c r="O63" s="930"/>
      <c r="P63" s="1919"/>
      <c r="Q63" s="451"/>
    </row>
    <row r="64" spans="1:29" ht="14.4" thickBot="1">
      <c r="A64" s="481"/>
      <c r="B64" s="482"/>
      <c r="C64" s="483">
        <v>100</v>
      </c>
      <c r="D64" s="483"/>
      <c r="E64" s="483"/>
      <c r="F64" s="483"/>
      <c r="G64" s="483"/>
      <c r="H64" s="483"/>
      <c r="I64" s="483"/>
      <c r="J64" s="483"/>
      <c r="K64" s="483"/>
      <c r="L64" s="483"/>
      <c r="M64" s="484"/>
      <c r="N64" s="931"/>
      <c r="O64" s="931"/>
      <c r="P64" s="1919"/>
      <c r="Q64" s="451"/>
    </row>
    <row r="65" spans="1:17" ht="29.4" thickTop="1">
      <c r="A65" s="481"/>
      <c r="B65" s="485" t="s">
        <v>1688</v>
      </c>
      <c r="C65" s="530"/>
      <c r="D65" s="530"/>
      <c r="E65" s="530"/>
      <c r="F65" s="530"/>
      <c r="G65" s="530"/>
      <c r="H65" s="530"/>
      <c r="I65" s="530"/>
      <c r="J65" s="530"/>
      <c r="K65" s="530"/>
      <c r="L65" s="530"/>
      <c r="M65" s="530"/>
      <c r="N65" s="931"/>
      <c r="O65" s="931"/>
      <c r="P65" s="1919"/>
      <c r="Q65" s="451"/>
    </row>
    <row r="66" spans="1:17" ht="14.4" thickBot="1">
      <c r="A66" s="481"/>
      <c r="B66" s="490"/>
      <c r="C66" s="483"/>
      <c r="D66" s="483"/>
      <c r="E66" s="483"/>
      <c r="F66" s="483"/>
      <c r="G66" s="483"/>
      <c r="H66" s="483"/>
      <c r="I66" s="483"/>
      <c r="J66" s="483"/>
      <c r="K66" s="483"/>
      <c r="L66" s="483"/>
      <c r="M66" s="484"/>
      <c r="N66" s="931"/>
      <c r="O66" s="931"/>
      <c r="P66" s="1919"/>
      <c r="Q66" s="451"/>
    </row>
    <row r="67" spans="1:17" ht="1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31"/>
      <c r="O67" s="931"/>
      <c r="P67" s="1919"/>
      <c r="Q67" s="451"/>
    </row>
    <row r="68" spans="1:17">
      <c r="A68" s="481"/>
      <c r="B68" s="495"/>
      <c r="C68" s="496"/>
      <c r="D68" s="496"/>
      <c r="E68" s="496"/>
      <c r="F68" s="496"/>
      <c r="G68" s="496"/>
      <c r="H68" s="496"/>
      <c r="I68" s="496"/>
      <c r="J68" s="496"/>
      <c r="K68" s="497"/>
      <c r="L68" s="498"/>
      <c r="M68" s="499"/>
      <c r="N68" s="930"/>
      <c r="O68" s="930"/>
      <c r="P68" s="1919"/>
      <c r="Q68" s="451"/>
    </row>
    <row r="69" spans="1:17" ht="14.4"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31"/>
      <c r="O69" s="931"/>
      <c r="P69" s="1919"/>
      <c r="Q69" s="451"/>
    </row>
    <row r="70" spans="1:17" s="420" customFormat="1" ht="14.4" thickTop="1">
      <c r="A70" s="500"/>
      <c r="B70" s="485">
        <f>B12</f>
        <v>111</v>
      </c>
      <c r="C70" s="501"/>
      <c r="D70" s="501"/>
      <c r="E70" s="501"/>
      <c r="F70" s="501"/>
      <c r="G70" s="501"/>
      <c r="H70" s="502"/>
      <c r="I70" s="502"/>
      <c r="J70" s="502"/>
      <c r="K70" s="502"/>
      <c r="L70" s="503"/>
      <c r="M70" s="504"/>
      <c r="N70" s="932"/>
      <c r="O70" s="932"/>
      <c r="P70" s="1920"/>
      <c r="Q70" s="506"/>
    </row>
    <row r="71" spans="1:17" s="420" customFormat="1" ht="14.4" thickBot="1">
      <c r="A71" s="500"/>
      <c r="B71" s="490"/>
      <c r="C71" s="507"/>
      <c r="D71" s="483"/>
      <c r="E71" s="483"/>
      <c r="F71" s="483"/>
      <c r="G71" s="483"/>
      <c r="H71" s="483"/>
      <c r="I71" s="483"/>
      <c r="J71" s="483"/>
      <c r="K71" s="483"/>
      <c r="L71" s="483"/>
      <c r="M71" s="484"/>
      <c r="N71" s="931"/>
      <c r="O71" s="931"/>
      <c r="P71" s="1920"/>
      <c r="Q71" s="506"/>
    </row>
    <row r="72" spans="1:17" s="420" customFormat="1" ht="14.4" thickTop="1">
      <c r="A72" s="500"/>
      <c r="B72" s="485">
        <f>B13</f>
        <v>111</v>
      </c>
      <c r="C72" s="501"/>
      <c r="D72" s="501"/>
      <c r="E72" s="501"/>
      <c r="F72" s="501"/>
      <c r="G72" s="501"/>
      <c r="H72" s="502"/>
      <c r="I72" s="502"/>
      <c r="J72" s="502"/>
      <c r="K72" s="502"/>
      <c r="L72" s="503"/>
      <c r="M72" s="504"/>
      <c r="N72" s="932"/>
      <c r="O72" s="932"/>
      <c r="P72" s="1921"/>
      <c r="Q72" s="508"/>
    </row>
    <row r="73" spans="1:17" s="420" customFormat="1" ht="14.4" thickBot="1">
      <c r="A73" s="500"/>
      <c r="B73" s="490"/>
      <c r="C73" s="507"/>
      <c r="D73" s="507"/>
      <c r="E73" s="507"/>
      <c r="F73" s="507"/>
      <c r="G73" s="507"/>
      <c r="H73" s="509"/>
      <c r="I73" s="509"/>
      <c r="J73" s="509"/>
      <c r="K73" s="509"/>
      <c r="L73" s="509"/>
      <c r="M73" s="510"/>
      <c r="N73" s="932"/>
      <c r="O73" s="932"/>
      <c r="P73" s="1920"/>
      <c r="Q73" s="506"/>
    </row>
    <row r="74" spans="1:17" s="420" customFormat="1" ht="14.4" thickTop="1">
      <c r="A74" s="500"/>
      <c r="B74" s="493">
        <f>B14</f>
        <v>111</v>
      </c>
      <c r="C74" s="501"/>
      <c r="D74" s="501"/>
      <c r="E74" s="501"/>
      <c r="F74" s="501"/>
      <c r="G74" s="470"/>
      <c r="H74" s="511"/>
      <c r="I74" s="511"/>
      <c r="J74" s="511"/>
      <c r="K74" s="511"/>
      <c r="L74" s="512"/>
      <c r="M74" s="513"/>
      <c r="N74" s="932"/>
      <c r="O74" s="932"/>
      <c r="P74" s="1922"/>
      <c r="Q74" s="506"/>
    </row>
    <row r="75" spans="1:17" s="420" customFormat="1" ht="14.4" thickBot="1">
      <c r="A75" s="515"/>
      <c r="B75" s="516"/>
      <c r="C75" s="517"/>
      <c r="D75" s="517"/>
      <c r="E75" s="517"/>
      <c r="F75" s="517"/>
      <c r="G75" s="517"/>
      <c r="H75" s="518"/>
      <c r="I75" s="518"/>
      <c r="J75" s="518"/>
      <c r="K75" s="518"/>
      <c r="L75" s="518"/>
      <c r="M75" s="519"/>
      <c r="N75" s="932"/>
      <c r="O75" s="932"/>
      <c r="P75" s="1920"/>
      <c r="Q75" s="506"/>
    </row>
    <row r="76" spans="1:17" ht="14.4">
      <c r="A76" s="474" t="s">
        <v>1690</v>
      </c>
      <c r="B76" s="475" t="s">
        <v>1720</v>
      </c>
      <c r="C76" s="520" t="s">
        <v>1721</v>
      </c>
      <c r="D76" s="520" t="s">
        <v>1722</v>
      </c>
      <c r="E76" s="520" t="s">
        <v>1723</v>
      </c>
      <c r="F76" s="520" t="s">
        <v>1724</v>
      </c>
      <c r="G76" s="520" t="s">
        <v>1725</v>
      </c>
      <c r="H76" s="476"/>
      <c r="I76" s="476"/>
      <c r="J76" s="476"/>
      <c r="K76" s="521"/>
      <c r="L76" s="522"/>
      <c r="M76" s="523"/>
      <c r="N76" s="930"/>
      <c r="O76" s="930"/>
      <c r="P76" s="1923"/>
      <c r="Q76" s="451"/>
    </row>
    <row r="77" spans="1:17" ht="14.4" thickBot="1">
      <c r="A77" s="481"/>
      <c r="B77" s="490"/>
      <c r="C77" s="491">
        <v>100</v>
      </c>
      <c r="D77" s="491">
        <f>C77-$K15</f>
        <v>100</v>
      </c>
      <c r="E77" s="491">
        <f>D77-$K15</f>
        <v>100</v>
      </c>
      <c r="F77" s="491">
        <f>E77-$K15</f>
        <v>100</v>
      </c>
      <c r="G77" s="491">
        <f>F77-$K15</f>
        <v>100</v>
      </c>
      <c r="H77" s="491"/>
      <c r="I77" s="491"/>
      <c r="J77" s="491"/>
      <c r="K77" s="491"/>
      <c r="L77" s="491"/>
      <c r="M77" s="492"/>
      <c r="N77" s="931"/>
      <c r="O77" s="931"/>
      <c r="P77" s="1919"/>
      <c r="Q77" s="451"/>
    </row>
    <row r="78" spans="1:17" ht="15" thickTop="1">
      <c r="A78" s="481"/>
      <c r="B78" s="485" t="s">
        <v>1726</v>
      </c>
      <c r="C78" s="525" t="s">
        <v>1721</v>
      </c>
      <c r="D78" s="525" t="s">
        <v>1722</v>
      </c>
      <c r="E78" s="525" t="s">
        <v>1723</v>
      </c>
      <c r="F78" s="525" t="s">
        <v>1724</v>
      </c>
      <c r="G78" s="525" t="s">
        <v>1725</v>
      </c>
      <c r="H78" s="486"/>
      <c r="I78" s="486"/>
      <c r="J78" s="486"/>
      <c r="K78" s="487"/>
      <c r="L78" s="488"/>
      <c r="M78" s="489"/>
      <c r="N78" s="930"/>
      <c r="O78" s="930"/>
      <c r="P78" s="1919"/>
      <c r="Q78" s="451"/>
    </row>
    <row r="79" spans="1:17" ht="14.4" thickBot="1">
      <c r="A79" s="481"/>
      <c r="B79" s="490"/>
      <c r="C79" s="491">
        <v>100</v>
      </c>
      <c r="D79" s="491">
        <f>C79-$K17</f>
        <v>100</v>
      </c>
      <c r="E79" s="491">
        <f>D79-$K17</f>
        <v>100</v>
      </c>
      <c r="F79" s="491">
        <f>E79-$K17</f>
        <v>100</v>
      </c>
      <c r="G79" s="491">
        <f>F79-$K17</f>
        <v>100</v>
      </c>
      <c r="H79" s="491"/>
      <c r="I79" s="491"/>
      <c r="J79" s="491"/>
      <c r="K79" s="491"/>
      <c r="L79" s="491"/>
      <c r="M79" s="492"/>
      <c r="N79" s="931"/>
      <c r="O79" s="931"/>
      <c r="P79" s="1919"/>
      <c r="Q79" s="451"/>
    </row>
    <row r="80" spans="1:17" ht="15" thickTop="1">
      <c r="A80" s="481"/>
      <c r="B80" s="485" t="s">
        <v>1727</v>
      </c>
      <c r="C80" s="525" t="s">
        <v>1721</v>
      </c>
      <c r="D80" s="525" t="s">
        <v>1722</v>
      </c>
      <c r="E80" s="525" t="s">
        <v>1723</v>
      </c>
      <c r="F80" s="525" t="s">
        <v>1724</v>
      </c>
      <c r="G80" s="525" t="s">
        <v>1725</v>
      </c>
      <c r="H80" s="486"/>
      <c r="I80" s="486"/>
      <c r="J80" s="486"/>
      <c r="K80" s="487"/>
      <c r="L80" s="488"/>
      <c r="M80" s="489"/>
      <c r="N80" s="930"/>
      <c r="O80" s="930"/>
      <c r="P80" s="1919"/>
      <c r="Q80" s="451"/>
    </row>
    <row r="81" spans="1:17" ht="14.4" thickBot="1">
      <c r="A81" s="481"/>
      <c r="B81" s="490"/>
      <c r="C81" s="491">
        <v>100</v>
      </c>
      <c r="D81" s="491">
        <f>C81-$K19</f>
        <v>100</v>
      </c>
      <c r="E81" s="491">
        <f>D81-$K19</f>
        <v>100</v>
      </c>
      <c r="F81" s="491">
        <f>E81-$K19</f>
        <v>100</v>
      </c>
      <c r="G81" s="491">
        <f>F81-$K19</f>
        <v>100</v>
      </c>
      <c r="H81" s="491"/>
      <c r="I81" s="491"/>
      <c r="J81" s="491"/>
      <c r="K81" s="491"/>
      <c r="L81" s="491"/>
      <c r="M81" s="492"/>
      <c r="N81" s="931"/>
      <c r="O81" s="931"/>
      <c r="P81" s="1919"/>
      <c r="Q81" s="451"/>
    </row>
    <row r="82" spans="1:17" ht="15" thickTop="1">
      <c r="A82" s="481"/>
      <c r="B82" s="493" t="s">
        <v>1260</v>
      </c>
      <c r="C82" s="486" t="s">
        <v>1728</v>
      </c>
      <c r="D82" s="486" t="s">
        <v>1729</v>
      </c>
      <c r="E82" s="486" t="s">
        <v>1730</v>
      </c>
      <c r="F82" s="486" t="s">
        <v>1731</v>
      </c>
      <c r="G82" s="486" t="s">
        <v>1732</v>
      </c>
      <c r="H82" s="486"/>
      <c r="I82" s="486"/>
      <c r="J82" s="486"/>
      <c r="K82" s="486"/>
      <c r="L82" s="486"/>
      <c r="M82" s="1126"/>
      <c r="N82" s="931"/>
      <c r="O82" s="931"/>
      <c r="P82" s="1919"/>
      <c r="Q82" s="451"/>
    </row>
    <row r="83" spans="1:17" ht="14.4"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31"/>
      <c r="O83" s="931"/>
      <c r="P83" s="1919"/>
      <c r="Q83" s="451"/>
    </row>
    <row r="84" spans="1:17" ht="15" thickTop="1">
      <c r="A84" s="481"/>
      <c r="B84" s="485" t="s">
        <v>1733</v>
      </c>
      <c r="C84" s="525" t="s">
        <v>1721</v>
      </c>
      <c r="D84" s="525" t="s">
        <v>1722</v>
      </c>
      <c r="E84" s="525" t="s">
        <v>1723</v>
      </c>
      <c r="F84" s="525" t="s">
        <v>1724</v>
      </c>
      <c r="G84" s="525" t="s">
        <v>1725</v>
      </c>
      <c r="H84" s="486"/>
      <c r="I84" s="486"/>
      <c r="J84" s="486"/>
      <c r="K84" s="487"/>
      <c r="L84" s="488"/>
      <c r="M84" s="489"/>
      <c r="N84" s="930"/>
      <c r="O84" s="930"/>
      <c r="P84" s="1919"/>
      <c r="Q84" s="451"/>
    </row>
    <row r="85" spans="1:17" ht="14.4" thickBot="1">
      <c r="A85" s="481"/>
      <c r="B85" s="490"/>
      <c r="C85" s="491">
        <v>100</v>
      </c>
      <c r="D85" s="491">
        <f>C85-$K23</f>
        <v>100</v>
      </c>
      <c r="E85" s="491">
        <f>D85-$K23</f>
        <v>100</v>
      </c>
      <c r="F85" s="491">
        <f>E85-$K23</f>
        <v>100</v>
      </c>
      <c r="G85" s="491">
        <f>F85-$K23</f>
        <v>100</v>
      </c>
      <c r="H85" s="491"/>
      <c r="I85" s="491"/>
      <c r="J85" s="491"/>
      <c r="K85" s="491"/>
      <c r="L85" s="491"/>
      <c r="M85" s="492"/>
      <c r="N85" s="931"/>
      <c r="O85" s="931"/>
      <c r="P85" s="1919"/>
      <c r="Q85" s="451"/>
    </row>
    <row r="86" spans="1:17" s="107" customFormat="1" ht="15" thickTop="1">
      <c r="A86" s="526"/>
      <c r="B86" s="485" t="s">
        <v>1734</v>
      </c>
      <c r="C86" s="501"/>
      <c r="D86" s="501"/>
      <c r="E86" s="501"/>
      <c r="F86" s="501"/>
      <c r="G86" s="501"/>
      <c r="H86" s="501"/>
      <c r="I86" s="501"/>
      <c r="J86" s="501"/>
      <c r="K86" s="501"/>
      <c r="L86" s="527"/>
      <c r="M86" s="528"/>
      <c r="N86" s="929"/>
      <c r="O86" s="929"/>
      <c r="P86" s="1919"/>
      <c r="Q86" s="451"/>
    </row>
    <row r="87" spans="1:17" s="107" customFormat="1" ht="14.4"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1"/>
      <c r="O87" s="931"/>
      <c r="P87" s="1919"/>
      <c r="Q87" s="451"/>
    </row>
    <row r="88" spans="1:17" s="107" customFormat="1" ht="15" thickTop="1">
      <c r="A88" s="526"/>
      <c r="B88" s="485" t="s">
        <v>1735</v>
      </c>
      <c r="C88" s="501"/>
      <c r="D88" s="501"/>
      <c r="E88" s="501"/>
      <c r="F88" s="1924"/>
      <c r="G88" s="501"/>
      <c r="H88" s="501"/>
      <c r="I88" s="501"/>
      <c r="J88" s="501"/>
      <c r="K88" s="501"/>
      <c r="L88" s="501"/>
      <c r="M88" s="528"/>
      <c r="N88" s="929"/>
      <c r="O88" s="929"/>
      <c r="P88" s="1919"/>
      <c r="Q88" s="451"/>
    </row>
    <row r="89" spans="1:17" s="107" customFormat="1" ht="14.4"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31"/>
      <c r="O89" s="931"/>
      <c r="P89" s="1919"/>
      <c r="Q89" s="451"/>
    </row>
    <row r="90" spans="1:17" s="420" customFormat="1" ht="14.4" thickTop="1">
      <c r="A90" s="500"/>
      <c r="B90" s="485">
        <f>B27</f>
        <v>111</v>
      </c>
      <c r="C90" s="501"/>
      <c r="D90" s="501"/>
      <c r="E90" s="501"/>
      <c r="F90" s="501"/>
      <c r="G90" s="501"/>
      <c r="H90" s="502"/>
      <c r="I90" s="502"/>
      <c r="J90" s="502"/>
      <c r="K90" s="502"/>
      <c r="L90" s="503"/>
      <c r="M90" s="504"/>
      <c r="N90" s="932"/>
      <c r="O90" s="932"/>
      <c r="P90" s="1920"/>
      <c r="Q90" s="506"/>
    </row>
    <row r="91" spans="1:17" s="420" customFormat="1" ht="14.4" thickBot="1">
      <c r="A91" s="500"/>
      <c r="B91" s="490"/>
      <c r="C91" s="507"/>
      <c r="D91" s="507"/>
      <c r="E91" s="507"/>
      <c r="F91" s="507"/>
      <c r="G91" s="507"/>
      <c r="H91" s="509"/>
      <c r="I91" s="509"/>
      <c r="J91" s="509"/>
      <c r="K91" s="509"/>
      <c r="L91" s="509"/>
      <c r="M91" s="510"/>
      <c r="N91" s="932"/>
      <c r="O91" s="932"/>
      <c r="P91" s="1920"/>
      <c r="Q91" s="506"/>
    </row>
    <row r="92" spans="1:17" ht="14.4" thickTop="1">
      <c r="A92" s="481"/>
      <c r="B92" s="485">
        <f>B28</f>
        <v>111</v>
      </c>
      <c r="C92" s="501"/>
      <c r="D92" s="501"/>
      <c r="E92" s="501"/>
      <c r="F92" s="501"/>
      <c r="G92" s="530"/>
      <c r="H92" s="530"/>
      <c r="I92" s="530"/>
      <c r="J92" s="530"/>
      <c r="K92" s="531"/>
      <c r="L92" s="532"/>
      <c r="M92" s="533"/>
      <c r="N92" s="930"/>
      <c r="O92" s="930"/>
      <c r="P92" s="1919"/>
      <c r="Q92" s="451"/>
    </row>
    <row r="93" spans="1:17" ht="14.4" thickBot="1">
      <c r="A93" s="481"/>
      <c r="B93" s="490"/>
      <c r="C93" s="507"/>
      <c r="D93" s="483"/>
      <c r="E93" s="483"/>
      <c r="F93" s="483"/>
      <c r="G93" s="483"/>
      <c r="H93" s="483"/>
      <c r="I93" s="483"/>
      <c r="J93" s="483"/>
      <c r="K93" s="483"/>
      <c r="L93" s="483"/>
      <c r="M93" s="484"/>
      <c r="N93" s="931"/>
      <c r="O93" s="931"/>
      <c r="P93" s="1919"/>
      <c r="Q93" s="451"/>
    </row>
    <row r="94" spans="1:17" ht="14.4" thickTop="1">
      <c r="A94" s="481"/>
      <c r="B94" s="485">
        <f>B29</f>
        <v>111</v>
      </c>
      <c r="C94" s="501"/>
      <c r="D94" s="501"/>
      <c r="E94" s="501"/>
      <c r="F94" s="501"/>
      <c r="G94" s="530"/>
      <c r="H94" s="530"/>
      <c r="I94" s="530"/>
      <c r="J94" s="530"/>
      <c r="K94" s="531"/>
      <c r="L94" s="532"/>
      <c r="M94" s="533"/>
      <c r="N94" s="930"/>
      <c r="O94" s="930"/>
      <c r="P94" s="1919"/>
      <c r="Q94" s="451"/>
    </row>
    <row r="95" spans="1:17" ht="14.4" thickBot="1">
      <c r="A95" s="481"/>
      <c r="B95" s="490"/>
      <c r="C95" s="507"/>
      <c r="D95" s="507"/>
      <c r="E95" s="507"/>
      <c r="F95" s="507"/>
      <c r="G95" s="483"/>
      <c r="H95" s="483"/>
      <c r="I95" s="483"/>
      <c r="J95" s="483"/>
      <c r="K95" s="483"/>
      <c r="L95" s="483"/>
      <c r="M95" s="484"/>
      <c r="N95" s="931"/>
      <c r="O95" s="931"/>
      <c r="P95" s="1919"/>
      <c r="Q95" s="451"/>
    </row>
    <row r="96" spans="1:17" ht="14.4" thickTop="1">
      <c r="A96" s="481"/>
      <c r="B96" s="485">
        <f>B30</f>
        <v>111</v>
      </c>
      <c r="C96" s="501"/>
      <c r="D96" s="501"/>
      <c r="E96" s="501"/>
      <c r="F96" s="501"/>
      <c r="G96" s="530"/>
      <c r="H96" s="530"/>
      <c r="I96" s="530"/>
      <c r="J96" s="530"/>
      <c r="K96" s="531"/>
      <c r="L96" s="532"/>
      <c r="M96" s="533"/>
      <c r="N96" s="930"/>
      <c r="O96" s="930"/>
      <c r="P96" s="1919"/>
      <c r="Q96" s="451"/>
    </row>
    <row r="97" spans="1:17" ht="14.4" thickBot="1">
      <c r="A97" s="481"/>
      <c r="B97" s="490"/>
      <c r="C97" s="517"/>
      <c r="D97" s="517"/>
      <c r="E97" s="517"/>
      <c r="F97" s="517"/>
      <c r="G97" s="483"/>
      <c r="H97" s="483"/>
      <c r="I97" s="483"/>
      <c r="J97" s="483"/>
      <c r="K97" s="483"/>
      <c r="L97" s="483"/>
      <c r="M97" s="484"/>
      <c r="N97" s="931"/>
      <c r="O97" s="931"/>
      <c r="P97" s="1919"/>
      <c r="Q97" s="451"/>
    </row>
    <row r="98" spans="1:17" ht="14.4" thickTop="1">
      <c r="A98" s="481"/>
      <c r="B98" s="493">
        <f>B31</f>
        <v>111</v>
      </c>
      <c r="C98" s="534"/>
      <c r="D98" s="534"/>
      <c r="E98" s="534"/>
      <c r="F98" s="534"/>
      <c r="G98" s="534"/>
      <c r="H98" s="534"/>
      <c r="I98" s="534"/>
      <c r="J98" s="534"/>
      <c r="K98" s="535"/>
      <c r="L98" s="536"/>
      <c r="M98" s="537"/>
      <c r="N98" s="930"/>
      <c r="O98" s="930"/>
      <c r="P98" s="1919"/>
      <c r="Q98" s="451"/>
    </row>
    <row r="99" spans="1:17" ht="14.4" thickBot="1">
      <c r="A99" s="1925"/>
      <c r="B99" s="516"/>
      <c r="C99" s="538"/>
      <c r="D99" s="538"/>
      <c r="E99" s="538"/>
      <c r="F99" s="538"/>
      <c r="G99" s="538"/>
      <c r="H99" s="538"/>
      <c r="I99" s="538"/>
      <c r="J99" s="538"/>
      <c r="K99" s="538"/>
      <c r="L99" s="538"/>
      <c r="M99" s="539"/>
      <c r="N99" s="931"/>
      <c r="O99" s="931"/>
      <c r="P99" s="1919"/>
      <c r="Q99" s="451"/>
    </row>
    <row r="100" spans="1:17" ht="14.4">
      <c r="A100" s="474" t="s">
        <v>1694</v>
      </c>
      <c r="B100" s="475" t="s">
        <v>1736</v>
      </c>
      <c r="C100" s="477"/>
      <c r="D100" s="477"/>
      <c r="E100" s="477"/>
      <c r="F100" s="477"/>
      <c r="G100" s="477"/>
      <c r="H100" s="477"/>
      <c r="I100" s="477"/>
      <c r="J100" s="477"/>
      <c r="K100" s="478"/>
      <c r="L100" s="479"/>
      <c r="M100" s="480"/>
      <c r="N100" s="930"/>
      <c r="O100" s="930"/>
      <c r="P100" s="1919"/>
      <c r="Q100" s="451"/>
    </row>
    <row r="101" spans="1:17" ht="14.4"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31"/>
      <c r="O101" s="931"/>
      <c r="P101" s="1919"/>
      <c r="Q101" s="451"/>
    </row>
    <row r="102" spans="1:17" ht="1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29"/>
      <c r="O102" s="929"/>
      <c r="P102" s="1919"/>
      <c r="Q102" s="451"/>
    </row>
    <row r="103" spans="1:17" s="420" customFormat="1">
      <c r="A103" s="540"/>
      <c r="B103" s="541"/>
      <c r="C103" s="542"/>
      <c r="D103" s="542"/>
      <c r="E103" s="542"/>
      <c r="F103" s="542"/>
      <c r="G103" s="542"/>
      <c r="H103" s="542"/>
      <c r="I103" s="542"/>
      <c r="J103" s="543"/>
      <c r="K103" s="543"/>
      <c r="L103" s="544"/>
      <c r="M103" s="545"/>
      <c r="N103" s="932"/>
      <c r="O103" s="932"/>
      <c r="P103" s="1920"/>
      <c r="Q103" s="506"/>
    </row>
    <row r="104" spans="1:17" s="420" customFormat="1" ht="14.4" thickBot="1">
      <c r="A104" s="500"/>
      <c r="B104" s="490"/>
      <c r="C104" s="507"/>
      <c r="D104" s="483"/>
      <c r="E104" s="483"/>
      <c r="F104" s="483"/>
      <c r="G104" s="483"/>
      <c r="H104" s="483"/>
      <c r="I104" s="483"/>
      <c r="J104" s="483"/>
      <c r="K104" s="483"/>
      <c r="L104" s="483"/>
      <c r="M104" s="483"/>
      <c r="N104" s="931"/>
      <c r="O104" s="931"/>
      <c r="P104" s="1920"/>
      <c r="Q104" s="506"/>
    </row>
    <row r="105" spans="1:17" ht="15" thickTop="1">
      <c r="A105" s="546"/>
      <c r="B105" s="485" t="s">
        <v>1738</v>
      </c>
      <c r="C105" s="501"/>
      <c r="D105" s="501"/>
      <c r="E105" s="530"/>
      <c r="F105" s="530"/>
      <c r="G105" s="530"/>
      <c r="H105" s="530"/>
      <c r="I105" s="530"/>
      <c r="J105" s="530"/>
      <c r="K105" s="531"/>
      <c r="L105" s="532"/>
      <c r="M105" s="533"/>
      <c r="N105" s="930"/>
      <c r="O105" s="930"/>
      <c r="P105" s="1919"/>
      <c r="Q105" s="451"/>
    </row>
    <row r="106" spans="1:17" ht="14.4"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31"/>
      <c r="O106" s="931"/>
      <c r="P106" s="1919"/>
      <c r="Q106" s="451"/>
    </row>
    <row r="107" spans="1:17" ht="15" thickTop="1">
      <c r="A107" s="546"/>
      <c r="B107" s="485" t="s">
        <v>1739</v>
      </c>
      <c r="C107" s="530"/>
      <c r="D107" s="530"/>
      <c r="E107" s="530"/>
      <c r="F107" s="530"/>
      <c r="G107" s="530"/>
      <c r="H107" s="530"/>
      <c r="I107" s="530"/>
      <c r="J107" s="530"/>
      <c r="K107" s="531"/>
      <c r="L107" s="532"/>
      <c r="M107" s="533"/>
      <c r="N107" s="930"/>
      <c r="O107" s="930"/>
      <c r="P107" s="1919"/>
      <c r="Q107" s="451"/>
    </row>
    <row r="108" spans="1:17" ht="14.4"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31"/>
      <c r="O108" s="931"/>
      <c r="P108" s="1919"/>
      <c r="Q108" s="451"/>
    </row>
    <row r="109" spans="1:17" ht="15" thickTop="1">
      <c r="A109" s="546"/>
      <c r="B109" s="485" t="s">
        <v>1740</v>
      </c>
      <c r="C109" s="501"/>
      <c r="D109" s="501"/>
      <c r="E109" s="501"/>
      <c r="F109" s="530"/>
      <c r="G109" s="530"/>
      <c r="H109" s="530"/>
      <c r="I109" s="530"/>
      <c r="J109" s="530"/>
      <c r="K109" s="531"/>
      <c r="L109" s="532"/>
      <c r="M109" s="533"/>
      <c r="N109" s="930"/>
      <c r="O109" s="930"/>
      <c r="P109" s="1919"/>
      <c r="Q109" s="451"/>
    </row>
    <row r="110" spans="1:17" ht="14.4"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31"/>
      <c r="O110" s="931"/>
      <c r="P110" s="1919"/>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20"/>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2"/>
      <c r="O112" s="932"/>
      <c r="P112" s="1920"/>
      <c r="Q112" s="506"/>
    </row>
    <row r="113" spans="1:17" s="420" customFormat="1" ht="14.4"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2"/>
      <c r="O113" s="932"/>
      <c r="P113" s="1920"/>
      <c r="Q113" s="506"/>
    </row>
    <row r="114" spans="1:17" ht="15" thickTop="1">
      <c r="A114" s="546"/>
      <c r="B114" s="485" t="s">
        <v>1741</v>
      </c>
      <c r="C114" s="501"/>
      <c r="D114" s="501"/>
      <c r="E114" s="530"/>
      <c r="F114" s="530"/>
      <c r="G114" s="530"/>
      <c r="H114" s="530"/>
      <c r="I114" s="530"/>
      <c r="J114" s="530"/>
      <c r="K114" s="531"/>
      <c r="L114" s="532"/>
      <c r="M114" s="533"/>
      <c r="N114" s="930"/>
      <c r="O114" s="930"/>
      <c r="P114" s="1919"/>
      <c r="Q114" s="451"/>
    </row>
    <row r="115" spans="1:17" ht="14.4"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31"/>
      <c r="O115" s="931"/>
      <c r="P115" s="1919"/>
      <c r="Q115" s="451"/>
    </row>
    <row r="116" spans="1:17" ht="15" thickTop="1">
      <c r="A116" s="546"/>
      <c r="B116" s="485" t="s">
        <v>1742</v>
      </c>
      <c r="C116" s="501"/>
      <c r="D116" s="501"/>
      <c r="E116" s="501"/>
      <c r="F116" s="501"/>
      <c r="G116" s="501"/>
      <c r="H116" s="530"/>
      <c r="I116" s="530"/>
      <c r="J116" s="530"/>
      <c r="K116" s="531"/>
      <c r="L116" s="532"/>
      <c r="M116" s="533"/>
      <c r="N116" s="930"/>
      <c r="O116" s="930"/>
      <c r="P116" s="1919"/>
      <c r="Q116" s="451"/>
    </row>
    <row r="117" spans="1:17" ht="14.4" thickBot="1">
      <c r="A117" s="481"/>
      <c r="B117" s="490"/>
      <c r="C117" s="491">
        <v>100</v>
      </c>
      <c r="D117" s="491">
        <f>C117-$K39</f>
        <v>100</v>
      </c>
      <c r="E117" s="491">
        <f>D117-$K39</f>
        <v>100</v>
      </c>
      <c r="F117" s="491">
        <f>E117-$K39</f>
        <v>100</v>
      </c>
      <c r="G117" s="491">
        <f>F117-$K39</f>
        <v>100</v>
      </c>
      <c r="H117" s="491"/>
      <c r="I117" s="491"/>
      <c r="J117" s="491"/>
      <c r="K117" s="491"/>
      <c r="L117" s="491"/>
      <c r="M117" s="492"/>
      <c r="N117" s="931"/>
      <c r="O117" s="931"/>
      <c r="P117" s="1919"/>
      <c r="Q117" s="451"/>
    </row>
    <row r="118" spans="1:17" ht="15" thickTop="1">
      <c r="A118" s="546"/>
      <c r="B118" s="485" t="s">
        <v>1743</v>
      </c>
      <c r="C118" s="530"/>
      <c r="D118" s="530"/>
      <c r="E118" s="530"/>
      <c r="F118" s="530"/>
      <c r="G118" s="530"/>
      <c r="H118" s="530"/>
      <c r="I118" s="530"/>
      <c r="J118" s="530"/>
      <c r="K118" s="531"/>
      <c r="L118" s="532"/>
      <c r="M118" s="533"/>
      <c r="N118" s="930"/>
      <c r="O118" s="930"/>
      <c r="P118" s="1919"/>
      <c r="Q118" s="451"/>
    </row>
    <row r="119" spans="1:17" ht="14.4"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1"/>
      <c r="O119" s="931"/>
      <c r="P119" s="1919"/>
      <c r="Q119" s="451"/>
    </row>
    <row r="120" spans="1:17" s="420" customFormat="1" ht="29.4" thickTop="1">
      <c r="A120" s="540"/>
      <c r="B120" s="485" t="s">
        <v>1705</v>
      </c>
      <c r="C120" s="501"/>
      <c r="D120" s="501"/>
      <c r="E120" s="501"/>
      <c r="F120" s="501"/>
      <c r="G120" s="501"/>
      <c r="H120" s="501"/>
      <c r="I120" s="501"/>
      <c r="J120" s="501"/>
      <c r="K120" s="501"/>
      <c r="L120" s="527"/>
      <c r="M120" s="528"/>
      <c r="N120" s="932"/>
      <c r="O120" s="932"/>
      <c r="P120" s="1920"/>
      <c r="Q120" s="506"/>
    </row>
    <row r="121" spans="1:17" s="420" customFormat="1" ht="14.4" thickBot="1">
      <c r="A121" s="500"/>
      <c r="B121" s="482"/>
      <c r="C121" s="507"/>
      <c r="D121" s="483"/>
      <c r="E121" s="483"/>
      <c r="F121" s="483"/>
      <c r="G121" s="483"/>
      <c r="H121" s="483"/>
      <c r="I121" s="483"/>
      <c r="J121" s="483"/>
      <c r="K121" s="483"/>
      <c r="L121" s="483"/>
      <c r="M121" s="483"/>
      <c r="N121" s="932"/>
      <c r="O121" s="932"/>
      <c r="P121" s="1920"/>
      <c r="Q121" s="506"/>
    </row>
    <row r="122" spans="1:17" ht="15" thickTop="1">
      <c r="A122" s="546"/>
      <c r="B122" s="485" t="s">
        <v>1744</v>
      </c>
      <c r="C122" s="501"/>
      <c r="D122" s="501"/>
      <c r="E122" s="501"/>
      <c r="F122" s="530"/>
      <c r="G122" s="530"/>
      <c r="H122" s="530"/>
      <c r="I122" s="530"/>
      <c r="J122" s="530"/>
      <c r="K122" s="531"/>
      <c r="L122" s="532"/>
      <c r="M122" s="533"/>
      <c r="N122" s="930"/>
      <c r="O122" s="930"/>
      <c r="P122" s="1919"/>
      <c r="Q122" s="451"/>
    </row>
    <row r="123" spans="1:17" ht="14.4"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31"/>
      <c r="O123" s="931"/>
      <c r="P123" s="1919"/>
      <c r="Q123" s="451"/>
    </row>
    <row r="124" spans="1:17" ht="29.4" thickTop="1">
      <c r="A124" s="546"/>
      <c r="B124" s="485" t="s">
        <v>1745</v>
      </c>
      <c r="C124" s="525" t="s">
        <v>1721</v>
      </c>
      <c r="D124" s="525" t="s">
        <v>1722</v>
      </c>
      <c r="E124" s="525" t="s">
        <v>1723</v>
      </c>
      <c r="F124" s="525" t="s">
        <v>1724</v>
      </c>
      <c r="G124" s="525" t="s">
        <v>1725</v>
      </c>
      <c r="H124" s="486"/>
      <c r="I124" s="486"/>
      <c r="J124" s="486"/>
      <c r="K124" s="487"/>
      <c r="L124" s="488"/>
      <c r="M124" s="489"/>
      <c r="N124" s="930"/>
      <c r="O124" s="930"/>
      <c r="P124" s="1920"/>
      <c r="Q124" s="451"/>
    </row>
    <row r="125" spans="1:17" ht="14.4" thickBot="1">
      <c r="A125" s="481"/>
      <c r="B125" s="490"/>
      <c r="C125" s="491">
        <v>100</v>
      </c>
      <c r="D125" s="491">
        <f>C125-$K43</f>
        <v>100</v>
      </c>
      <c r="E125" s="491">
        <f>D125-$K43</f>
        <v>100</v>
      </c>
      <c r="F125" s="491">
        <f>E125-$K43</f>
        <v>100</v>
      </c>
      <c r="G125" s="491">
        <f>F125-$K43</f>
        <v>100</v>
      </c>
      <c r="H125" s="491"/>
      <c r="I125" s="491"/>
      <c r="J125" s="491"/>
      <c r="K125" s="491"/>
      <c r="L125" s="491"/>
      <c r="M125" s="492"/>
      <c r="N125" s="931"/>
      <c r="O125" s="931"/>
      <c r="P125" s="1919"/>
      <c r="Q125" s="451"/>
    </row>
    <row r="126" spans="1:17" s="420" customFormat="1" ht="14.4" thickTop="1">
      <c r="A126" s="540"/>
      <c r="B126" s="485">
        <f>B44</f>
        <v>111</v>
      </c>
      <c r="C126" s="501"/>
      <c r="D126" s="501"/>
      <c r="E126" s="501"/>
      <c r="F126" s="501"/>
      <c r="G126" s="501"/>
      <c r="H126" s="502"/>
      <c r="I126" s="502"/>
      <c r="J126" s="502"/>
      <c r="K126" s="502"/>
      <c r="L126" s="503"/>
      <c r="M126" s="504"/>
      <c r="N126" s="932"/>
      <c r="O126" s="932"/>
      <c r="P126" s="1920"/>
      <c r="Q126" s="506"/>
    </row>
    <row r="127" spans="1:17" s="420" customFormat="1" ht="14.4" thickBot="1">
      <c r="A127" s="500"/>
      <c r="B127" s="490"/>
      <c r="C127" s="507"/>
      <c r="D127" s="483"/>
      <c r="E127" s="483"/>
      <c r="F127" s="483"/>
      <c r="G127" s="507"/>
      <c r="H127" s="509"/>
      <c r="I127" s="509"/>
      <c r="J127" s="509"/>
      <c r="K127" s="509"/>
      <c r="L127" s="509"/>
      <c r="M127" s="510"/>
      <c r="N127" s="932"/>
      <c r="O127" s="932"/>
      <c r="P127" s="1920"/>
      <c r="Q127" s="506"/>
    </row>
    <row r="128" spans="1:17" ht="14.4" thickTop="1">
      <c r="A128" s="546"/>
      <c r="B128" s="485">
        <f>B45</f>
        <v>111</v>
      </c>
      <c r="C128" s="501"/>
      <c r="D128" s="501"/>
      <c r="E128" s="501"/>
      <c r="F128" s="501"/>
      <c r="G128" s="530"/>
      <c r="H128" s="530"/>
      <c r="I128" s="530"/>
      <c r="J128" s="530"/>
      <c r="K128" s="531"/>
      <c r="L128" s="532"/>
      <c r="M128" s="533"/>
      <c r="N128" s="930"/>
      <c r="O128" s="930"/>
      <c r="P128" s="1919"/>
      <c r="Q128" s="451"/>
    </row>
    <row r="129" spans="1:17" ht="14.4" thickBot="1">
      <c r="A129" s="481"/>
      <c r="B129" s="490"/>
      <c r="C129" s="507"/>
      <c r="D129" s="507"/>
      <c r="E129" s="507"/>
      <c r="F129" s="507"/>
      <c r="G129" s="483"/>
      <c r="H129" s="483"/>
      <c r="I129" s="483"/>
      <c r="J129" s="483"/>
      <c r="K129" s="483"/>
      <c r="L129" s="483"/>
      <c r="M129" s="484"/>
      <c r="N129" s="931"/>
      <c r="O129" s="931"/>
      <c r="P129" s="1919"/>
      <c r="Q129" s="451"/>
    </row>
    <row r="130" spans="1:17" ht="14.4" thickTop="1">
      <c r="A130" s="546"/>
      <c r="B130" s="493">
        <f>B46</f>
        <v>111</v>
      </c>
      <c r="C130" s="501"/>
      <c r="D130" s="501"/>
      <c r="E130" s="501"/>
      <c r="F130" s="501"/>
      <c r="G130" s="534"/>
      <c r="H130" s="534"/>
      <c r="I130" s="534"/>
      <c r="J130" s="534"/>
      <c r="K130" s="470"/>
      <c r="L130" s="471"/>
      <c r="M130" s="537"/>
      <c r="N130" s="930"/>
      <c r="O130" s="930"/>
      <c r="P130" s="1919"/>
      <c r="Q130" s="451"/>
    </row>
    <row r="131" spans="1:17" ht="14.4" thickBot="1">
      <c r="A131" s="1925"/>
      <c r="B131" s="516"/>
      <c r="C131" s="517"/>
      <c r="D131" s="517"/>
      <c r="E131" s="517"/>
      <c r="F131" s="517"/>
      <c r="G131" s="538"/>
      <c r="H131" s="538"/>
      <c r="I131" s="538"/>
      <c r="J131" s="538"/>
      <c r="K131" s="538"/>
      <c r="L131" s="538"/>
      <c r="M131" s="539"/>
      <c r="N131" s="931"/>
      <c r="O131" s="931"/>
      <c r="P131" s="1919"/>
      <c r="Q131" s="451"/>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5" t="s">
        <v>1749</v>
      </c>
      <c r="D138" s="135" t="s">
        <v>1750</v>
      </c>
      <c r="E138" s="1934" t="s">
        <v>1751</v>
      </c>
      <c r="F138" s="1935" t="s">
        <v>1752</v>
      </c>
      <c r="G138" s="135" t="s">
        <v>1750</v>
      </c>
      <c r="H138" s="136" t="s">
        <v>1751</v>
      </c>
      <c r="I138" s="1936"/>
      <c r="J138" s="135" t="s">
        <v>1753</v>
      </c>
      <c r="K138" s="136"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69">
        <f>ROUNDUP((J139-1)/2,0)</f>
        <v>10</v>
      </c>
      <c r="K140" s="875">
        <v>100</v>
      </c>
    </row>
    <row r="141" spans="1:17" ht="15">
      <c r="B141" s="870">
        <v>4</v>
      </c>
      <c r="C141" s="871">
        <v>102</v>
      </c>
      <c r="D141" s="871"/>
      <c r="E141" s="872"/>
      <c r="F141" s="873">
        <v>101.5</v>
      </c>
      <c r="G141" s="871"/>
      <c r="H141" s="874"/>
      <c r="I141" s="1939" t="s">
        <v>1758</v>
      </c>
      <c r="J141" s="269">
        <v>1</v>
      </c>
      <c r="K141" s="876">
        <f>ROUND(100+(J141-J140)*K139*100,1)</f>
        <v>96.4</v>
      </c>
    </row>
    <row r="142" spans="1:17" ht="15">
      <c r="B142" s="870">
        <v>3</v>
      </c>
      <c r="C142" s="871">
        <v>103</v>
      </c>
      <c r="D142" s="871"/>
      <c r="E142" s="872"/>
      <c r="F142" s="873">
        <v>101</v>
      </c>
      <c r="G142" s="871"/>
      <c r="H142" s="874"/>
      <c r="I142" s="1939" t="s">
        <v>1759</v>
      </c>
      <c r="J142" s="269">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6.2"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ht="14.4">
      <c r="B147" s="1926" t="s">
        <v>1764</v>
      </c>
    </row>
    <row r="148" spans="2:11" ht="14.4">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1" sqref="D1:F1"/>
    </sheetView>
  </sheetViews>
  <sheetFormatPr defaultColWidth="9" defaultRowHeight="13.8"/>
  <cols>
    <col min="1" max="1" width="10.44140625" style="355" customWidth="1"/>
    <col min="2" max="2" width="15.77734375" style="355" customWidth="1"/>
    <col min="3" max="3" width="15.109375" style="355" customWidth="1"/>
    <col min="4" max="4" width="12.21875" style="355" customWidth="1"/>
    <col min="5" max="5" width="14.33203125" style="355" customWidth="1"/>
    <col min="6" max="6" width="12.21875" style="355" customWidth="1"/>
    <col min="7" max="7" width="14.44140625" style="355" customWidth="1"/>
    <col min="8" max="8" width="12.21875" style="355" customWidth="1"/>
    <col min="9" max="9" width="14.44140625" style="355" customWidth="1"/>
    <col min="10" max="10" width="12.21875" style="355" customWidth="1"/>
    <col min="11" max="11" width="12.21875" style="442" customWidth="1"/>
    <col min="12" max="12" width="12.21875" style="443" customWidth="1"/>
    <col min="13" max="15" width="12.21875" style="355" customWidth="1"/>
    <col min="16" max="16" width="4.77734375" style="1913" customWidth="1"/>
    <col min="17" max="17" width="19.44140625" style="355" customWidth="1"/>
    <col min="18" max="22" width="6.109375" style="355" customWidth="1"/>
    <col min="23" max="23" width="5.77734375" style="355" customWidth="1"/>
    <col min="24" max="24" width="4.21875" style="355" customWidth="1"/>
    <col min="25" max="25" width="3.44140625" style="355" customWidth="1"/>
    <col min="26" max="26" width="19.77734375" style="355" customWidth="1"/>
    <col min="27" max="28" width="9.33203125" style="355" customWidth="1"/>
    <col min="29" max="16384" width="9" style="355"/>
  </cols>
  <sheetData>
    <row r="1" spans="1:29" s="1230" customFormat="1" ht="28.5" customHeight="1" thickBot="1">
      <c r="A1" s="1219" t="s">
        <v>1660</v>
      </c>
      <c r="B1" s="1875" t="s">
        <v>1766</v>
      </c>
      <c r="C1" s="1235" t="s">
        <v>1662</v>
      </c>
      <c r="D1" s="1222"/>
      <c r="E1" s="3425"/>
      <c r="F1" s="1876"/>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0" customFormat="1" ht="28.5" customHeight="1" thickTop="1">
      <c r="A2" s="1218" t="s">
        <v>1462</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1"/>
      <c r="M2" s="2732"/>
      <c r="N2" s="2732"/>
      <c r="O2" s="2732"/>
      <c r="P2" s="1949"/>
      <c r="Q2" s="909"/>
      <c r="R2" s="909"/>
      <c r="S2" s="909"/>
      <c r="T2" s="909"/>
      <c r="U2" s="909"/>
      <c r="V2" s="909"/>
      <c r="W2" s="909"/>
      <c r="X2" s="909"/>
      <c r="Y2" s="909"/>
      <c r="Z2" s="909"/>
      <c r="AA2" s="909"/>
      <c r="AB2" s="909"/>
      <c r="AC2" s="1950"/>
    </row>
    <row r="3" spans="1:29" s="350" customFormat="1" ht="28.5" customHeight="1" thickBot="1">
      <c r="A3" s="201" t="s">
        <v>1464</v>
      </c>
      <c r="B3" s="556">
        <f>IF(C2="——",C49,ROUND(B2*10000/D3,0))</f>
        <v>0</v>
      </c>
      <c r="C3" s="352" t="s">
        <v>1768</v>
      </c>
      <c r="D3" s="351">
        <f>IF(D1="",'数据-汇总表'!E3,SUMIF('数据-汇总表'!$C19:$C33,D1,'数据-汇总表'!$E19:$E33))</f>
        <v>204.38</v>
      </c>
      <c r="E3" s="1951"/>
      <c r="F3" s="906"/>
      <c r="G3" s="905"/>
      <c r="H3" s="905"/>
      <c r="I3" s="905"/>
      <c r="J3" s="905"/>
      <c r="K3" s="907"/>
      <c r="L3" s="2731"/>
      <c r="M3" s="2732"/>
      <c r="N3" s="2732"/>
      <c r="O3" s="2732"/>
      <c r="P3" s="1949"/>
      <c r="Q3" s="909"/>
      <c r="R3" s="909"/>
      <c r="S3" s="909"/>
      <c r="T3" s="909"/>
      <c r="U3" s="909"/>
      <c r="V3" s="909"/>
      <c r="W3" s="909"/>
      <c r="X3" s="909"/>
      <c r="Y3" s="909"/>
      <c r="Z3" s="909"/>
      <c r="AA3" s="909"/>
      <c r="AB3" s="909"/>
      <c r="AC3" s="1951"/>
    </row>
    <row r="4" spans="1:29" ht="14.4">
      <c r="A4" s="353" t="s">
        <v>1769</v>
      </c>
      <c r="B4" s="354"/>
      <c r="C4" s="3709" t="s">
        <v>1770</v>
      </c>
      <c r="D4" s="3710"/>
      <c r="E4" s="3711" t="s">
        <v>1771</v>
      </c>
      <c r="F4" s="3712"/>
      <c r="G4" s="3709" t="s">
        <v>1772</v>
      </c>
      <c r="H4" s="3710"/>
      <c r="I4" s="3709" t="s">
        <v>1773</v>
      </c>
      <c r="J4" s="3710"/>
      <c r="K4" s="557" t="s">
        <v>1774</v>
      </c>
      <c r="L4" s="2712"/>
      <c r="M4" s="2713"/>
      <c r="N4" s="2713"/>
      <c r="O4" s="2713"/>
      <c r="P4" s="3713" t="s">
        <v>1775</v>
      </c>
      <c r="Q4" s="3714"/>
      <c r="R4" s="3719" t="s">
        <v>1771</v>
      </c>
      <c r="S4" s="3720"/>
      <c r="T4" s="3719" t="s">
        <v>1772</v>
      </c>
      <c r="U4" s="3720"/>
      <c r="V4" s="3725" t="s">
        <v>1773</v>
      </c>
      <c r="W4" s="3725"/>
      <c r="X4" s="1352"/>
      <c r="Y4" s="3719" t="s">
        <v>1775</v>
      </c>
      <c r="Z4" s="3720"/>
      <c r="AA4" s="3706" t="s">
        <v>1771</v>
      </c>
      <c r="AB4" s="3725" t="s">
        <v>1772</v>
      </c>
      <c r="AC4" s="3706" t="s">
        <v>1773</v>
      </c>
    </row>
    <row r="5" spans="1:29">
      <c r="A5" s="356"/>
      <c r="B5" s="357"/>
      <c r="C5" s="3728" t="s">
        <v>1673</v>
      </c>
      <c r="D5" s="3729"/>
      <c r="E5" s="3735" t="s">
        <v>1674</v>
      </c>
      <c r="F5" s="3736"/>
      <c r="G5" s="3728" t="s">
        <v>1675</v>
      </c>
      <c r="H5" s="3729"/>
      <c r="I5" s="3728" t="s">
        <v>1676</v>
      </c>
      <c r="J5" s="3729"/>
      <c r="K5" s="557"/>
      <c r="L5" s="2712"/>
      <c r="M5" s="2713"/>
      <c r="N5" s="2713"/>
      <c r="O5" s="2713"/>
      <c r="P5" s="3715"/>
      <c r="Q5" s="3716"/>
      <c r="R5" s="3721"/>
      <c r="S5" s="3722"/>
      <c r="T5" s="3721"/>
      <c r="U5" s="3722"/>
      <c r="V5" s="3725"/>
      <c r="W5" s="3725"/>
      <c r="X5" s="1352"/>
      <c r="Y5" s="3721"/>
      <c r="Z5" s="3722"/>
      <c r="AA5" s="3707"/>
      <c r="AB5" s="3725"/>
      <c r="AC5" s="3707"/>
    </row>
    <row r="6" spans="1:29" ht="15" thickBot="1">
      <c r="A6" s="358"/>
      <c r="B6" s="359"/>
      <c r="C6" s="3726" t="s">
        <v>1677</v>
      </c>
      <c r="D6" s="3727"/>
      <c r="E6" s="3733" t="s">
        <v>1677</v>
      </c>
      <c r="F6" s="3734"/>
      <c r="G6" s="3726" t="s">
        <v>1677</v>
      </c>
      <c r="H6" s="3727"/>
      <c r="I6" s="3726" t="s">
        <v>1677</v>
      </c>
      <c r="J6" s="3727"/>
      <c r="K6" s="557" t="s">
        <v>1678</v>
      </c>
      <c r="L6" s="2712"/>
      <c r="M6" s="2713"/>
      <c r="N6" s="2713"/>
      <c r="O6" s="2713"/>
      <c r="P6" s="3717"/>
      <c r="Q6" s="3718"/>
      <c r="R6" s="3721"/>
      <c r="S6" s="3722"/>
      <c r="T6" s="3723"/>
      <c r="U6" s="3724"/>
      <c r="V6" s="3725"/>
      <c r="W6" s="3725"/>
      <c r="X6" s="1352"/>
      <c r="Y6" s="3723"/>
      <c r="Z6" s="3724"/>
      <c r="AA6" s="3708"/>
      <c r="AB6" s="3725"/>
      <c r="AC6" s="3708"/>
    </row>
    <row r="7" spans="1:29" s="107" customFormat="1" ht="15" thickBot="1">
      <c r="A7" s="360" t="s">
        <v>1679</v>
      </c>
      <c r="B7" s="361"/>
      <c r="C7" s="362">
        <f>'数据-取费表'!B2</f>
        <v>44917</v>
      </c>
      <c r="D7" s="363">
        <v>100</v>
      </c>
      <c r="E7" s="364"/>
      <c r="F7" s="365">
        <f>SUMIF(58:58,YEAR(E7)&amp;"-"&amp;MONTH(E7),59:59)</f>
        <v>0</v>
      </c>
      <c r="G7" s="364"/>
      <c r="H7" s="363">
        <f>SUMIF(58:58,YEAR(G7)&amp;"-"&amp;MONTH(G7),59:59)</f>
        <v>0</v>
      </c>
      <c r="I7" s="364"/>
      <c r="J7" s="363">
        <f>SUMIF(58:58,YEAR(I7)&amp;"-"&amp;MONTH(I7),59:59)</f>
        <v>0</v>
      </c>
      <c r="K7" s="558"/>
      <c r="L7" s="2714"/>
      <c r="M7" s="2715"/>
      <c r="N7" s="2715"/>
      <c r="O7" s="2715"/>
      <c r="P7" s="3730" t="s">
        <v>1680</v>
      </c>
      <c r="Q7" s="3732"/>
      <c r="R7" s="699" t="s">
        <v>14</v>
      </c>
      <c r="S7" s="700">
        <f t="shared" ref="S7:S15" si="0">F7</f>
        <v>0</v>
      </c>
      <c r="T7" s="699" t="s">
        <v>14</v>
      </c>
      <c r="U7" s="700">
        <f t="shared" ref="U7:U15" si="1">H7</f>
        <v>0</v>
      </c>
      <c r="V7" s="699" t="s">
        <v>14</v>
      </c>
      <c r="W7" s="700">
        <f t="shared" ref="W7:W15" si="2">J7</f>
        <v>0</v>
      </c>
      <c r="X7" s="701"/>
      <c r="Y7" s="3730" t="s">
        <v>1680</v>
      </c>
      <c r="Z7" s="3731"/>
      <c r="AA7" s="702" t="e">
        <f>D7/F7</f>
        <v>#DIV/0!</v>
      </c>
      <c r="AB7" s="702" t="e">
        <f>D7/H7</f>
        <v>#DIV/0!</v>
      </c>
      <c r="AC7" s="702" t="e">
        <f>D7/J7</f>
        <v>#DIV/0!</v>
      </c>
    </row>
    <row r="8" spans="1:29" s="107" customFormat="1" ht="15" thickBot="1">
      <c r="A8" s="360" t="s">
        <v>1681</v>
      </c>
      <c r="B8" s="361"/>
      <c r="C8" s="366"/>
      <c r="D8" s="363">
        <v>100</v>
      </c>
      <c r="E8" s="366"/>
      <c r="F8" s="365">
        <f>SUMIF(61:61,E8,62:62)-SUMIF(61:61,C8,62:62)+100</f>
        <v>100</v>
      </c>
      <c r="G8" s="366"/>
      <c r="H8" s="363">
        <f>SUMIF(61:61,G8,62:62)-SUMIF(61:61,C8,62:62)+100</f>
        <v>100</v>
      </c>
      <c r="I8" s="366"/>
      <c r="J8" s="363">
        <f>SUMIF(61:61,I8,62:62)-SUMIF(61:61,C8,62:62)+100</f>
        <v>100</v>
      </c>
      <c r="K8" s="558"/>
      <c r="L8" s="2714"/>
      <c r="M8" s="2715"/>
      <c r="N8" s="2715"/>
      <c r="O8" s="2715"/>
      <c r="P8" s="3730" t="s">
        <v>1683</v>
      </c>
      <c r="Q8" s="3731"/>
      <c r="R8" s="699" t="s">
        <v>14</v>
      </c>
      <c r="S8" s="700">
        <f t="shared" si="0"/>
        <v>100</v>
      </c>
      <c r="T8" s="699" t="s">
        <v>14</v>
      </c>
      <c r="U8" s="700">
        <f t="shared" si="1"/>
        <v>100</v>
      </c>
      <c r="V8" s="699" t="s">
        <v>14</v>
      </c>
      <c r="W8" s="700">
        <f t="shared" si="2"/>
        <v>100</v>
      </c>
      <c r="X8" s="701"/>
      <c r="Y8" s="3730" t="s">
        <v>1683</v>
      </c>
      <c r="Z8" s="3731"/>
      <c r="AA8" s="702">
        <f t="shared" ref="AA8:AA46" si="3">D8/F8</f>
        <v>1</v>
      </c>
      <c r="AB8" s="702">
        <f t="shared" ref="AB8:AB46" si="4">D8/H8</f>
        <v>1</v>
      </c>
      <c r="AC8" s="702">
        <f t="shared" ref="AC8:AC46" si="5">D8/J8</f>
        <v>1</v>
      </c>
    </row>
    <row r="9" spans="1:29" s="107" customFormat="1" ht="14.4">
      <c r="A9" s="367" t="s">
        <v>1684</v>
      </c>
      <c r="B9" s="63" t="s">
        <v>1685</v>
      </c>
      <c r="C9" s="368"/>
      <c r="D9" s="124">
        <v>100</v>
      </c>
      <c r="E9" s="369"/>
      <c r="F9" s="370">
        <f>SUMIF(63:63,E9,64:64)-SUMIF(63:63,C9,64:64)+100</f>
        <v>100</v>
      </c>
      <c r="G9" s="369"/>
      <c r="H9" s="124">
        <f>SUMIF(63:63,G9,64:64)-SUMIF(63:63,C9,64:64)+100</f>
        <v>100</v>
      </c>
      <c r="I9" s="369"/>
      <c r="J9" s="124">
        <f>SUMIF(63:63,I9,64:64)-SUMIF(63:63,C9,64:64)+100</f>
        <v>100</v>
      </c>
      <c r="K9" s="558"/>
      <c r="L9" s="2714"/>
      <c r="M9" s="2715"/>
      <c r="N9" s="2715"/>
      <c r="O9" s="2715"/>
      <c r="P9" s="3705" t="s">
        <v>1686</v>
      </c>
      <c r="Q9" s="1340" t="str">
        <f t="shared" ref="Q9:Q15" si="6">B9</f>
        <v>用途</v>
      </c>
      <c r="R9" s="699" t="s">
        <v>14</v>
      </c>
      <c r="S9" s="700">
        <f t="shared" si="0"/>
        <v>100</v>
      </c>
      <c r="T9" s="699" t="s">
        <v>14</v>
      </c>
      <c r="U9" s="700">
        <f t="shared" si="1"/>
        <v>100</v>
      </c>
      <c r="V9" s="699" t="s">
        <v>14</v>
      </c>
      <c r="W9" s="700">
        <f t="shared" si="2"/>
        <v>100</v>
      </c>
      <c r="X9" s="701"/>
      <c r="Y9" s="3550" t="s">
        <v>1687</v>
      </c>
      <c r="Z9" s="52" t="str">
        <f t="shared" ref="Z9:Z15" si="7">Q9</f>
        <v>用途</v>
      </c>
      <c r="AA9" s="702">
        <f t="shared" si="3"/>
        <v>1</v>
      </c>
      <c r="AB9" s="702">
        <f t="shared" si="4"/>
        <v>1</v>
      </c>
      <c r="AC9" s="702">
        <f t="shared" si="5"/>
        <v>1</v>
      </c>
    </row>
    <row r="10" spans="1:29" s="376" customFormat="1" ht="28.8">
      <c r="A10" s="372"/>
      <c r="B10" s="373" t="s">
        <v>1688</v>
      </c>
      <c r="C10" s="3434"/>
      <c r="D10" s="125">
        <v>100</v>
      </c>
      <c r="E10" s="3435"/>
      <c r="F10" s="374">
        <f>SUMIF(65:65,E10,66:66)-SUMIF(65:65,C10,66:66)+100</f>
        <v>100</v>
      </c>
      <c r="G10" s="3434"/>
      <c r="H10" s="125">
        <f>SUMIF(65:65,G10,66:66)-SUMIF(65:65,C10,66:66)+100</f>
        <v>100</v>
      </c>
      <c r="I10" s="3434"/>
      <c r="J10" s="125">
        <f>SUMIF(65:65,I10,66:66)-SUMIF(65:65,C10,66:66)+100</f>
        <v>100</v>
      </c>
      <c r="K10" s="558"/>
      <c r="L10" s="2716"/>
      <c r="M10" s="2717"/>
      <c r="N10" s="2717"/>
      <c r="O10" s="2717"/>
      <c r="P10" s="3705"/>
      <c r="Q10" s="1340" t="str">
        <f t="shared" si="6"/>
        <v>土地使用年限（年）</v>
      </c>
      <c r="R10" s="699" t="s">
        <v>14</v>
      </c>
      <c r="S10" s="700">
        <f t="shared" si="0"/>
        <v>100</v>
      </c>
      <c r="T10" s="699" t="s">
        <v>14</v>
      </c>
      <c r="U10" s="700">
        <f t="shared" si="1"/>
        <v>100</v>
      </c>
      <c r="V10" s="699" t="s">
        <v>14</v>
      </c>
      <c r="W10" s="700">
        <f t="shared" si="2"/>
        <v>100</v>
      </c>
      <c r="X10" s="701"/>
      <c r="Y10" s="3550"/>
      <c r="Z10" s="52"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559"/>
      <c r="L11" s="2718"/>
      <c r="M11" s="2713"/>
      <c r="N11" s="2713"/>
      <c r="O11" s="2713"/>
      <c r="P11" s="3705"/>
      <c r="Q11" s="1340" t="str">
        <f t="shared" si="6"/>
        <v>容积率</v>
      </c>
      <c r="R11" s="699" t="s">
        <v>14</v>
      </c>
      <c r="S11" s="700" t="e">
        <f t="shared" si="0"/>
        <v>#N/A</v>
      </c>
      <c r="T11" s="699" t="s">
        <v>14</v>
      </c>
      <c r="U11" s="700" t="e">
        <f t="shared" si="1"/>
        <v>#N/A</v>
      </c>
      <c r="V11" s="699" t="s">
        <v>14</v>
      </c>
      <c r="W11" s="700" t="e">
        <f t="shared" si="2"/>
        <v>#N/A</v>
      </c>
      <c r="X11" s="701"/>
      <c r="Y11" s="3550"/>
      <c r="Z11" s="52" t="str">
        <f t="shared" si="7"/>
        <v>容积率</v>
      </c>
      <c r="AA11" s="702" t="e">
        <f t="shared" si="3"/>
        <v>#N/A</v>
      </c>
      <c r="AB11" s="702" t="e">
        <f t="shared" si="4"/>
        <v>#N/A</v>
      </c>
      <c r="AC11" s="702" t="e">
        <f t="shared" si="5"/>
        <v>#N/A</v>
      </c>
    </row>
    <row r="12" spans="1:29" s="107" customFormat="1" ht="15">
      <c r="A12" s="380"/>
      <c r="B12" s="1890">
        <v>111</v>
      </c>
      <c r="C12" s="381"/>
      <c r="D12" s="382">
        <v>100</v>
      </c>
      <c r="E12" s="383"/>
      <c r="F12" s="374">
        <f>SUMIF(70:70,E12,71:71)-SUMIF(70:70,C12,71:71)+100</f>
        <v>100</v>
      </c>
      <c r="G12" s="383"/>
      <c r="H12" s="125">
        <f>SUMIF(70:70,G12,71:71)-SUMIF(70:70,C12,71:71)+100</f>
        <v>100</v>
      </c>
      <c r="I12" s="383"/>
      <c r="J12" s="125">
        <f>SUMIF(70:70,I12,71:71)-SUMIF(70:70,C12,71:71)+100</f>
        <v>100</v>
      </c>
      <c r="K12" s="560"/>
      <c r="L12" s="2714"/>
      <c r="M12" s="2715"/>
      <c r="N12" s="2715"/>
      <c r="O12" s="2715"/>
      <c r="P12" s="3705"/>
      <c r="Q12" s="1340">
        <f t="shared" si="6"/>
        <v>111</v>
      </c>
      <c r="R12" s="699" t="s">
        <v>14</v>
      </c>
      <c r="S12" s="700">
        <f t="shared" si="0"/>
        <v>100</v>
      </c>
      <c r="T12" s="699" t="s">
        <v>14</v>
      </c>
      <c r="U12" s="700">
        <f t="shared" si="1"/>
        <v>100</v>
      </c>
      <c r="V12" s="699" t="s">
        <v>14</v>
      </c>
      <c r="W12" s="700">
        <f t="shared" si="2"/>
        <v>100</v>
      </c>
      <c r="X12" s="701"/>
      <c r="Y12" s="3550"/>
      <c r="Z12" s="52">
        <f t="shared" si="7"/>
        <v>111</v>
      </c>
      <c r="AA12" s="702">
        <f>D12/F12</f>
        <v>1</v>
      </c>
      <c r="AB12" s="702">
        <f>D12/H12</f>
        <v>1</v>
      </c>
      <c r="AC12" s="702">
        <f>D12/J12</f>
        <v>1</v>
      </c>
    </row>
    <row r="13" spans="1:29" ht="15">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560"/>
      <c r="L13" s="2719"/>
      <c r="M13" s="2713"/>
      <c r="N13" s="2713"/>
      <c r="O13" s="2713"/>
      <c r="P13" s="3705"/>
      <c r="Q13" s="1340">
        <f t="shared" si="6"/>
        <v>111</v>
      </c>
      <c r="R13" s="699" t="s">
        <v>14</v>
      </c>
      <c r="S13" s="700">
        <f t="shared" si="0"/>
        <v>100</v>
      </c>
      <c r="T13" s="699" t="s">
        <v>14</v>
      </c>
      <c r="U13" s="700">
        <f t="shared" si="1"/>
        <v>100</v>
      </c>
      <c r="V13" s="699" t="s">
        <v>14</v>
      </c>
      <c r="W13" s="700">
        <f t="shared" si="2"/>
        <v>100</v>
      </c>
      <c r="X13" s="701"/>
      <c r="Y13" s="3550"/>
      <c r="Z13" s="52">
        <f t="shared" si="7"/>
        <v>111</v>
      </c>
      <c r="AA13" s="702">
        <f t="shared" si="3"/>
        <v>1</v>
      </c>
      <c r="AB13" s="702">
        <f t="shared" si="4"/>
        <v>1</v>
      </c>
      <c r="AC13" s="702">
        <f t="shared" si="5"/>
        <v>1</v>
      </c>
    </row>
    <row r="14" spans="1:29" ht="15.6" thickBot="1">
      <c r="A14" s="385"/>
      <c r="B14" s="1892">
        <v>111</v>
      </c>
      <c r="C14" s="386"/>
      <c r="D14" s="387">
        <v>100</v>
      </c>
      <c r="E14" s="383"/>
      <c r="F14" s="388">
        <f>SUMIF(74:74,E14,75:75)-SUMIF(74:74,C14,75:75)+100</f>
        <v>100</v>
      </c>
      <c r="G14" s="383"/>
      <c r="H14" s="387">
        <f>SUMIF(74:74,G14,75:75)-SUMIF(74:74,C14,75:75)+100</f>
        <v>100</v>
      </c>
      <c r="I14" s="383"/>
      <c r="J14" s="387">
        <f>SUMIF(74:74,I14,75:75)-SUMIF(74:74,C14,75:75)+100</f>
        <v>100</v>
      </c>
      <c r="K14" s="560"/>
      <c r="L14" s="2719"/>
      <c r="M14" s="2713"/>
      <c r="N14" s="2713"/>
      <c r="O14" s="2713"/>
      <c r="P14" s="3705"/>
      <c r="Q14" s="1340">
        <f t="shared" si="6"/>
        <v>111</v>
      </c>
      <c r="R14" s="699" t="s">
        <v>14</v>
      </c>
      <c r="S14" s="700">
        <f t="shared" si="0"/>
        <v>100</v>
      </c>
      <c r="T14" s="699" t="s">
        <v>14</v>
      </c>
      <c r="U14" s="700">
        <f t="shared" si="1"/>
        <v>100</v>
      </c>
      <c r="V14" s="699" t="s">
        <v>14</v>
      </c>
      <c r="W14" s="700">
        <f t="shared" si="2"/>
        <v>100</v>
      </c>
      <c r="X14" s="701"/>
      <c r="Y14" s="3550"/>
      <c r="Z14" s="52">
        <f t="shared" si="7"/>
        <v>111</v>
      </c>
      <c r="AA14" s="702">
        <f t="shared" si="3"/>
        <v>1</v>
      </c>
      <c r="AB14" s="702">
        <f t="shared" si="4"/>
        <v>1</v>
      </c>
      <c r="AC14" s="702">
        <f t="shared" si="5"/>
        <v>1</v>
      </c>
    </row>
    <row r="15" spans="1:29" ht="69">
      <c r="A15" s="389" t="s">
        <v>1690</v>
      </c>
      <c r="B15" s="61" t="s">
        <v>1777</v>
      </c>
      <c r="C15" s="1893" t="str">
        <f>估价对象房地状况!C4</f>
        <v>估价对象位于XX商圈，周边商业氛围成熟，人流量大，商业繁华度好</v>
      </c>
      <c r="D15" s="390">
        <v>100</v>
      </c>
      <c r="E15" s="391"/>
      <c r="F15" s="392">
        <f>SUMIF(76:76,E16,77:77)-SUMIF(76:76,C16,77:77)+100</f>
        <v>100</v>
      </c>
      <c r="G15" s="393"/>
      <c r="H15" s="390">
        <f>SUMIF(76:76,G16,77:77)-SUMIF(76:76,C16,77:77)+100</f>
        <v>100</v>
      </c>
      <c r="I15" s="391"/>
      <c r="J15" s="390">
        <f>SUMIF(76:76,I16,77:77)-SUMIF(76:76,C16,77:77)+100</f>
        <v>100</v>
      </c>
      <c r="K15" s="561"/>
      <c r="L15" s="2719"/>
      <c r="M15" s="2713"/>
      <c r="N15" s="2713"/>
      <c r="O15" s="2713"/>
      <c r="P15" s="3703" t="s">
        <v>1691</v>
      </c>
      <c r="Q15" s="1349" t="str">
        <f t="shared" si="6"/>
        <v>商业繁华度</v>
      </c>
      <c r="R15" s="703" t="s">
        <v>14</v>
      </c>
      <c r="S15" s="704">
        <f t="shared" si="0"/>
        <v>100</v>
      </c>
      <c r="T15" s="703" t="s">
        <v>14</v>
      </c>
      <c r="U15" s="704">
        <f t="shared" si="1"/>
        <v>100</v>
      </c>
      <c r="V15" s="703" t="s">
        <v>14</v>
      </c>
      <c r="W15" s="704">
        <f t="shared" si="2"/>
        <v>100</v>
      </c>
      <c r="X15" s="1352"/>
      <c r="Y15" s="3696" t="s">
        <v>1691</v>
      </c>
      <c r="Z15" s="1353" t="str">
        <f t="shared" si="7"/>
        <v>商业繁华度</v>
      </c>
      <c r="AA15" s="1350">
        <f t="shared" si="3"/>
        <v>1</v>
      </c>
      <c r="AB15" s="1350">
        <f t="shared" si="4"/>
        <v>1</v>
      </c>
      <c r="AC15" s="1350">
        <f t="shared" si="5"/>
        <v>1</v>
      </c>
    </row>
    <row r="16" spans="1:29" ht="15">
      <c r="A16" s="377"/>
      <c r="B16" s="395"/>
      <c r="C16" s="396"/>
      <c r="D16" s="397"/>
      <c r="E16" s="396"/>
      <c r="F16" s="398"/>
      <c r="G16" s="396"/>
      <c r="H16" s="399"/>
      <c r="I16" s="396"/>
      <c r="J16" s="397"/>
      <c r="K16" s="562"/>
      <c r="L16" s="2719"/>
      <c r="M16" s="2713"/>
      <c r="N16" s="2713"/>
      <c r="O16" s="2713"/>
      <c r="P16" s="3704"/>
      <c r="Q16" s="1349"/>
      <c r="R16" s="703"/>
      <c r="S16" s="704"/>
      <c r="T16" s="703"/>
      <c r="U16" s="704"/>
      <c r="V16" s="703"/>
      <c r="W16" s="704"/>
      <c r="X16" s="1352"/>
      <c r="Y16" s="3697"/>
      <c r="Z16" s="1353"/>
      <c r="AA16" s="1350">
        <v>1</v>
      </c>
      <c r="AB16" s="1350">
        <v>1</v>
      </c>
      <c r="AC16" s="1350">
        <v>1</v>
      </c>
    </row>
    <row r="17" spans="1:29" ht="82.8">
      <c r="A17" s="377"/>
      <c r="B17" s="400" t="s">
        <v>1259</v>
      </c>
      <c r="C17" s="1897"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c r="L17" s="2719"/>
      <c r="M17" s="2713"/>
      <c r="N17" s="2713"/>
      <c r="O17" s="2713"/>
      <c r="P17" s="3704"/>
      <c r="Q17" s="1349" t="str">
        <f>B17</f>
        <v>交通便捷度</v>
      </c>
      <c r="R17" s="703" t="s">
        <v>14</v>
      </c>
      <c r="S17" s="704">
        <f>F17</f>
        <v>100</v>
      </c>
      <c r="T17" s="703" t="s">
        <v>14</v>
      </c>
      <c r="U17" s="704">
        <f>H17</f>
        <v>100</v>
      </c>
      <c r="V17" s="703" t="s">
        <v>14</v>
      </c>
      <c r="W17" s="704">
        <f>J17</f>
        <v>100</v>
      </c>
      <c r="X17" s="1352"/>
      <c r="Y17" s="3697"/>
      <c r="Z17" s="1353" t="str">
        <f>Q17</f>
        <v>交通便捷度</v>
      </c>
      <c r="AA17" s="1350">
        <f t="shared" si="3"/>
        <v>1</v>
      </c>
      <c r="AB17" s="1350">
        <f t="shared" si="4"/>
        <v>1</v>
      </c>
      <c r="AC17" s="1350">
        <f t="shared" si="5"/>
        <v>1</v>
      </c>
    </row>
    <row r="18" spans="1:29" ht="15">
      <c r="A18" s="377"/>
      <c r="B18" s="405"/>
      <c r="C18" s="1898"/>
      <c r="D18" s="399"/>
      <c r="E18" s="1900"/>
      <c r="F18" s="402"/>
      <c r="G18" s="1899"/>
      <c r="H18" s="397"/>
      <c r="I18" s="1900"/>
      <c r="J18" s="397"/>
      <c r="K18" s="562"/>
      <c r="L18" s="2719"/>
      <c r="M18" s="2713"/>
      <c r="N18" s="2713"/>
      <c r="O18" s="2713"/>
      <c r="P18" s="3704"/>
      <c r="Q18" s="1349"/>
      <c r="R18" s="703"/>
      <c r="S18" s="704"/>
      <c r="T18" s="703"/>
      <c r="U18" s="704"/>
      <c r="V18" s="703"/>
      <c r="W18" s="704"/>
      <c r="X18" s="1352"/>
      <c r="Y18" s="3697"/>
      <c r="Z18" s="1353"/>
      <c r="AA18" s="1350">
        <v>1</v>
      </c>
      <c r="AB18" s="1350">
        <v>1</v>
      </c>
      <c r="AC18" s="1350">
        <v>1</v>
      </c>
    </row>
    <row r="19" spans="1:29" ht="41.4">
      <c r="A19" s="377"/>
      <c r="B19" s="400" t="s">
        <v>1778</v>
      </c>
      <c r="C19" s="1897"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c r="L19" s="2719"/>
      <c r="M19" s="2713"/>
      <c r="N19" s="2713"/>
      <c r="O19" s="2713"/>
      <c r="P19" s="3704"/>
      <c r="Q19" s="1349" t="str">
        <f>B19</f>
        <v>公共配套设施</v>
      </c>
      <c r="R19" s="703" t="s">
        <v>14</v>
      </c>
      <c r="S19" s="704">
        <f>F19</f>
        <v>100</v>
      </c>
      <c r="T19" s="703" t="s">
        <v>14</v>
      </c>
      <c r="U19" s="704">
        <f>H19</f>
        <v>100</v>
      </c>
      <c r="V19" s="703" t="s">
        <v>14</v>
      </c>
      <c r="W19" s="704">
        <f>J19</f>
        <v>100</v>
      </c>
      <c r="X19" s="1352"/>
      <c r="Y19" s="3697"/>
      <c r="Z19" s="1353" t="str">
        <f>Q19</f>
        <v>公共配套设施</v>
      </c>
      <c r="AA19" s="1350">
        <f t="shared" si="3"/>
        <v>1</v>
      </c>
      <c r="AB19" s="1350">
        <f t="shared" si="4"/>
        <v>1</v>
      </c>
      <c r="AC19" s="1350">
        <f t="shared" si="5"/>
        <v>1</v>
      </c>
    </row>
    <row r="20" spans="1:29" ht="15">
      <c r="A20" s="377"/>
      <c r="B20" s="405"/>
      <c r="C20" s="396"/>
      <c r="D20" s="397"/>
      <c r="E20" s="1895"/>
      <c r="F20" s="398"/>
      <c r="G20" s="1894"/>
      <c r="H20" s="397"/>
      <c r="I20" s="1895"/>
      <c r="J20" s="397"/>
      <c r="K20" s="562"/>
      <c r="L20" s="2719"/>
      <c r="M20" s="2713"/>
      <c r="N20" s="2713"/>
      <c r="O20" s="2713"/>
      <c r="P20" s="3704"/>
      <c r="Q20" s="1349"/>
      <c r="R20" s="703"/>
      <c r="S20" s="704"/>
      <c r="T20" s="703"/>
      <c r="U20" s="704"/>
      <c r="V20" s="703"/>
      <c r="W20" s="704"/>
      <c r="X20" s="1352"/>
      <c r="Y20" s="3697"/>
      <c r="Z20" s="1353"/>
      <c r="AA20" s="1350">
        <v>1</v>
      </c>
      <c r="AB20" s="1350">
        <v>1</v>
      </c>
      <c r="AC20" s="1350">
        <v>1</v>
      </c>
    </row>
    <row r="21" spans="1:29" ht="27.6">
      <c r="A21" s="377"/>
      <c r="B21" s="1128" t="s">
        <v>1779</v>
      </c>
      <c r="C21" s="1897"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c r="L21" s="2719"/>
      <c r="M21" s="2713"/>
      <c r="N21" s="2713"/>
      <c r="O21" s="2713"/>
      <c r="P21" s="3704"/>
      <c r="Q21" s="1349" t="str">
        <f>B21</f>
        <v>基础设施水平</v>
      </c>
      <c r="R21" s="703" t="s">
        <v>14</v>
      </c>
      <c r="S21" s="704">
        <f>F21</f>
        <v>100</v>
      </c>
      <c r="T21" s="703" t="s">
        <v>14</v>
      </c>
      <c r="U21" s="704">
        <f>H21</f>
        <v>100</v>
      </c>
      <c r="V21" s="703" t="s">
        <v>14</v>
      </c>
      <c r="W21" s="704">
        <f>J21</f>
        <v>100</v>
      </c>
      <c r="X21" s="1352"/>
      <c r="Y21" s="3697"/>
      <c r="Z21" s="1353" t="str">
        <f>Q21</f>
        <v>基础设施水平</v>
      </c>
      <c r="AA21" s="1350">
        <f t="shared" ref="AA21" si="8">D21/F21</f>
        <v>1</v>
      </c>
      <c r="AB21" s="1350">
        <f t="shared" ref="AB21" si="9">D21/H21</f>
        <v>1</v>
      </c>
      <c r="AC21" s="1350">
        <f t="shared" ref="AC21" si="10">D21/J21</f>
        <v>1</v>
      </c>
    </row>
    <row r="22" spans="1:29" ht="15">
      <c r="A22" s="377"/>
      <c r="B22" s="1128"/>
      <c r="C22" s="1898"/>
      <c r="D22" s="397"/>
      <c r="E22" s="396"/>
      <c r="F22" s="398"/>
      <c r="G22" s="396"/>
      <c r="H22" s="397"/>
      <c r="I22" s="396"/>
      <c r="J22" s="397"/>
      <c r="K22" s="1127"/>
      <c r="L22" s="2719"/>
      <c r="M22" s="2713"/>
      <c r="N22" s="2713"/>
      <c r="O22" s="2713"/>
      <c r="P22" s="3704"/>
      <c r="Q22" s="1349"/>
      <c r="R22" s="703"/>
      <c r="S22" s="704"/>
      <c r="T22" s="703"/>
      <c r="U22" s="704"/>
      <c r="V22" s="703"/>
      <c r="W22" s="704"/>
      <c r="X22" s="1352"/>
      <c r="Y22" s="3697"/>
      <c r="Z22" s="1353"/>
      <c r="AA22" s="1350">
        <v>1</v>
      </c>
      <c r="AB22" s="1350">
        <v>1</v>
      </c>
      <c r="AC22" s="1350">
        <v>1</v>
      </c>
    </row>
    <row r="23" spans="1:29" ht="55.2">
      <c r="A23" s="377"/>
      <c r="B23" s="400" t="s">
        <v>1261</v>
      </c>
      <c r="C23" s="1952"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c r="L23" s="2719"/>
      <c r="M23" s="2713"/>
      <c r="N23" s="2713"/>
      <c r="O23" s="2713"/>
      <c r="P23" s="3704"/>
      <c r="Q23" s="1349" t="str">
        <f>B23</f>
        <v>自然及人文环境</v>
      </c>
      <c r="R23" s="703" t="s">
        <v>14</v>
      </c>
      <c r="S23" s="704">
        <f>F23</f>
        <v>100</v>
      </c>
      <c r="T23" s="703" t="s">
        <v>14</v>
      </c>
      <c r="U23" s="704">
        <f>H23</f>
        <v>100</v>
      </c>
      <c r="V23" s="703" t="s">
        <v>14</v>
      </c>
      <c r="W23" s="704">
        <f>J23</f>
        <v>100</v>
      </c>
      <c r="X23" s="1352"/>
      <c r="Y23" s="3697"/>
      <c r="Z23" s="1353" t="str">
        <f>Q23</f>
        <v>自然及人文环境</v>
      </c>
      <c r="AA23" s="1350">
        <f t="shared" si="3"/>
        <v>1</v>
      </c>
      <c r="AB23" s="1350">
        <f t="shared" si="4"/>
        <v>1</v>
      </c>
      <c r="AC23" s="1350">
        <f t="shared" si="5"/>
        <v>1</v>
      </c>
    </row>
    <row r="24" spans="1:29" ht="15">
      <c r="A24" s="377"/>
      <c r="B24" s="405"/>
      <c r="C24" s="396"/>
      <c r="D24" s="397"/>
      <c r="E24" s="1895"/>
      <c r="F24" s="398"/>
      <c r="G24" s="1894"/>
      <c r="H24" s="397"/>
      <c r="I24" s="1895"/>
      <c r="J24" s="397"/>
      <c r="K24" s="562"/>
      <c r="L24" s="2719"/>
      <c r="M24" s="2713"/>
      <c r="N24" s="2713"/>
      <c r="O24" s="2713"/>
      <c r="P24" s="3704"/>
      <c r="Q24" s="1349"/>
      <c r="R24" s="703"/>
      <c r="S24" s="704"/>
      <c r="T24" s="703"/>
      <c r="U24" s="704"/>
      <c r="V24" s="703"/>
      <c r="W24" s="704"/>
      <c r="X24" s="1352"/>
      <c r="Y24" s="3697"/>
      <c r="Z24" s="1353"/>
      <c r="AA24" s="1350">
        <v>1</v>
      </c>
      <c r="AB24" s="1350">
        <v>1</v>
      </c>
      <c r="AC24" s="1350">
        <v>1</v>
      </c>
    </row>
    <row r="25" spans="1:29" ht="15">
      <c r="A25" s="377"/>
      <c r="B25" s="373" t="s">
        <v>1780</v>
      </c>
      <c r="C25" s="563"/>
      <c r="D25" s="384">
        <v>100</v>
      </c>
      <c r="E25" s="563"/>
      <c r="F25" s="410">
        <f>SUMIF(86:86,E25,87:87)-SUMIF(86:86,C25,87:87)+100</f>
        <v>100</v>
      </c>
      <c r="G25" s="563"/>
      <c r="H25" s="384">
        <f>SUMIF(86:86,G25,87:87)-SUMIF(86:86,C25,87:87)+100</f>
        <v>100</v>
      </c>
      <c r="I25" s="563"/>
      <c r="J25" s="384">
        <f>SUMIF(86:86,I25,87:87)-SUMIF(86:86,C25,87:87)+100</f>
        <v>100</v>
      </c>
      <c r="K25" s="559"/>
      <c r="L25" s="2719"/>
      <c r="M25" s="2713"/>
      <c r="N25" s="2713"/>
      <c r="O25" s="2713"/>
      <c r="P25" s="3704"/>
      <c r="Q25" s="1349" t="str">
        <f t="shared" ref="Q25:Q46" si="11">B25</f>
        <v>临街状况</v>
      </c>
      <c r="R25" s="703" t="s">
        <v>14</v>
      </c>
      <c r="S25" s="704">
        <f>F25</f>
        <v>100</v>
      </c>
      <c r="T25" s="703" t="s">
        <v>14</v>
      </c>
      <c r="U25" s="704">
        <f>H25</f>
        <v>100</v>
      </c>
      <c r="V25" s="703" t="s">
        <v>14</v>
      </c>
      <c r="W25" s="704">
        <f>J25</f>
        <v>100</v>
      </c>
      <c r="X25" s="1352"/>
      <c r="Y25" s="3697"/>
      <c r="Z25" s="1353" t="str">
        <f>Q25</f>
        <v>临街状况</v>
      </c>
      <c r="AA25" s="1350">
        <f t="shared" si="3"/>
        <v>1</v>
      </c>
      <c r="AB25" s="1350">
        <f t="shared" si="4"/>
        <v>1</v>
      </c>
      <c r="AC25" s="1350">
        <f t="shared" si="5"/>
        <v>1</v>
      </c>
    </row>
    <row r="26" spans="1:29" ht="15">
      <c r="A26" s="377"/>
      <c r="B26" s="1130" t="s">
        <v>1781</v>
      </c>
      <c r="C26" s="383"/>
      <c r="D26" s="384">
        <v>100</v>
      </c>
      <c r="E26" s="383"/>
      <c r="F26" s="410">
        <f>SUMIF(88:88,E26,89:89)-SUMIF(88:88,C26,89:89)+100</f>
        <v>100</v>
      </c>
      <c r="G26" s="383"/>
      <c r="H26" s="384">
        <f>SUMIF(88:88,G26,89:89)-SUMIF(88:88,C26,89:89)+100</f>
        <v>100</v>
      </c>
      <c r="I26" s="383"/>
      <c r="J26" s="384">
        <f>SUMIF(88:88,I26,89:89)-SUMIF(88:88,C26,89:89)+100</f>
        <v>100</v>
      </c>
      <c r="K26" s="560"/>
      <c r="L26" s="2719"/>
      <c r="M26" s="2713"/>
      <c r="N26" s="2713"/>
      <c r="O26" s="2713"/>
      <c r="P26" s="3704"/>
      <c r="Q26" s="1349" t="str">
        <f t="shared" si="11"/>
        <v>平面位置/可视性</v>
      </c>
      <c r="R26" s="703" t="s">
        <v>14</v>
      </c>
      <c r="S26" s="704">
        <f>F26</f>
        <v>100</v>
      </c>
      <c r="T26" s="703" t="s">
        <v>14</v>
      </c>
      <c r="U26" s="704">
        <f>H26</f>
        <v>100</v>
      </c>
      <c r="V26" s="703" t="s">
        <v>14</v>
      </c>
      <c r="W26" s="704">
        <f>J26</f>
        <v>100</v>
      </c>
      <c r="X26" s="1352"/>
      <c r="Y26" s="3697"/>
      <c r="Z26" s="1353" t="str">
        <f>Q26</f>
        <v>平面位置/可视性</v>
      </c>
      <c r="AA26" s="1350">
        <f t="shared" si="3"/>
        <v>1</v>
      </c>
      <c r="AB26" s="1350">
        <f t="shared" si="4"/>
        <v>1</v>
      </c>
      <c r="AC26" s="1350">
        <f t="shared" si="5"/>
        <v>1</v>
      </c>
    </row>
    <row r="27" spans="1:29" s="107" customFormat="1" ht="15">
      <c r="A27" s="380"/>
      <c r="B27" s="400" t="s">
        <v>1782</v>
      </c>
      <c r="C27" s="1953"/>
      <c r="D27" s="411">
        <v>100</v>
      </c>
      <c r="E27" s="1953"/>
      <c r="F27" s="413">
        <f>SUMIF(90:90,E27,91:91)-SUMIF(90:90,C27,91:91)+100</f>
        <v>100</v>
      </c>
      <c r="G27" s="1953"/>
      <c r="H27" s="411">
        <f>SUMIF(90:90,G27,91:91)-SUMIF(90:90,C27,91:91)+100</f>
        <v>100</v>
      </c>
      <c r="I27" s="1953"/>
      <c r="J27" s="411">
        <f>SUMIF(90:90,I27,91:91)-SUMIF(90:90,C27,91:91)+100</f>
        <v>100</v>
      </c>
      <c r="K27" s="559"/>
      <c r="L27" s="2714"/>
      <c r="M27" s="2715"/>
      <c r="N27" s="2715"/>
      <c r="O27" s="2715"/>
      <c r="P27" s="3704"/>
      <c r="Q27" s="1340" t="str">
        <f t="shared" si="11"/>
        <v>人流量</v>
      </c>
      <c r="R27" s="699" t="s">
        <v>14</v>
      </c>
      <c r="S27" s="700">
        <f>F27</f>
        <v>100</v>
      </c>
      <c r="T27" s="699" t="s">
        <v>14</v>
      </c>
      <c r="U27" s="700">
        <f>H27</f>
        <v>100</v>
      </c>
      <c r="V27" s="699" t="s">
        <v>14</v>
      </c>
      <c r="W27" s="700">
        <f>J27</f>
        <v>100</v>
      </c>
      <c r="X27" s="701"/>
      <c r="Y27" s="3697"/>
      <c r="Z27" s="52" t="str">
        <f>Q27</f>
        <v>人流量</v>
      </c>
      <c r="AA27" s="1350">
        <f>D27/F27</f>
        <v>1</v>
      </c>
      <c r="AB27" s="1350">
        <f>D27/H27</f>
        <v>1</v>
      </c>
      <c r="AC27" s="1350">
        <f>D27/J27</f>
        <v>1</v>
      </c>
    </row>
    <row r="28" spans="1:29" ht="15">
      <c r="A28" s="377"/>
      <c r="B28" s="373" t="s">
        <v>1783</v>
      </c>
      <c r="C28" s="563"/>
      <c r="D28" s="384">
        <v>100</v>
      </c>
      <c r="E28" s="563"/>
      <c r="F28" s="410">
        <f>SUMIF(92:92,E28,93:93)-SUMIF(92:92,C28,93:93)+100</f>
        <v>100</v>
      </c>
      <c r="G28" s="563"/>
      <c r="H28" s="384">
        <f>SUMIF(92:92,G28,93:93)-SUMIF(92:92,C28,93:93)+100</f>
        <v>100</v>
      </c>
      <c r="I28" s="563"/>
      <c r="J28" s="384">
        <f>SUMIF(92:92,I28,93:93)-SUMIF(92:92,C28,93:93)+100</f>
        <v>100</v>
      </c>
      <c r="K28" s="560"/>
      <c r="L28" s="2719"/>
      <c r="M28" s="2713"/>
      <c r="N28" s="2713"/>
      <c r="O28" s="2713"/>
      <c r="P28" s="3704"/>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697"/>
      <c r="Z28" s="1353" t="str">
        <f t="shared" ref="Z28:Z46" si="15">Q28</f>
        <v>楼层</v>
      </c>
      <c r="AA28" s="1350">
        <f t="shared" si="3"/>
        <v>1</v>
      </c>
      <c r="AB28" s="1350">
        <f t="shared" si="4"/>
        <v>1</v>
      </c>
      <c r="AC28" s="1350">
        <f t="shared" si="5"/>
        <v>1</v>
      </c>
    </row>
    <row r="29" spans="1:29" ht="15">
      <c r="A29" s="377"/>
      <c r="B29" s="1130">
        <v>111</v>
      </c>
      <c r="C29" s="383"/>
      <c r="D29" s="384">
        <v>100</v>
      </c>
      <c r="E29" s="383"/>
      <c r="F29" s="410">
        <f>SUMIF(94:94,E29,95:95)-SUMIF(94:94,C29,95:95)+100</f>
        <v>100</v>
      </c>
      <c r="G29" s="383"/>
      <c r="H29" s="384">
        <f>SUMIF(94:94,G29,95:95)-SUMIF(94:94,C29,95:95)+100</f>
        <v>100</v>
      </c>
      <c r="I29" s="383"/>
      <c r="J29" s="384">
        <f>SUMIF(94:94,I29,95:95)-SUMIF(94:94,C29,95:95)+100</f>
        <v>100</v>
      </c>
      <c r="K29" s="560"/>
      <c r="L29" s="2719"/>
      <c r="M29" s="2713"/>
      <c r="N29" s="2713"/>
      <c r="O29" s="2713"/>
      <c r="P29" s="3704"/>
      <c r="Q29" s="1349">
        <f t="shared" si="11"/>
        <v>111</v>
      </c>
      <c r="R29" s="703" t="s">
        <v>14</v>
      </c>
      <c r="S29" s="704">
        <f t="shared" si="12"/>
        <v>100</v>
      </c>
      <c r="T29" s="703" t="s">
        <v>14</v>
      </c>
      <c r="U29" s="704">
        <f t="shared" si="13"/>
        <v>100</v>
      </c>
      <c r="V29" s="703" t="s">
        <v>14</v>
      </c>
      <c r="W29" s="704">
        <f t="shared" si="14"/>
        <v>100</v>
      </c>
      <c r="X29" s="1352"/>
      <c r="Y29" s="3697"/>
      <c r="Z29" s="1353">
        <f t="shared" si="15"/>
        <v>111</v>
      </c>
      <c r="AA29" s="1350">
        <f t="shared" si="3"/>
        <v>1</v>
      </c>
      <c r="AB29" s="1350">
        <f t="shared" si="4"/>
        <v>1</v>
      </c>
      <c r="AC29" s="1350">
        <f t="shared" si="5"/>
        <v>1</v>
      </c>
    </row>
    <row r="30" spans="1:29" ht="15">
      <c r="A30" s="377"/>
      <c r="B30" s="1130">
        <v>111</v>
      </c>
      <c r="C30" s="383"/>
      <c r="D30" s="384">
        <v>100</v>
      </c>
      <c r="E30" s="383"/>
      <c r="F30" s="410">
        <f>SUMIF(96:96,E30,97:97)-SUMIF(96:96,C30,97:97)+100</f>
        <v>100</v>
      </c>
      <c r="G30" s="383"/>
      <c r="H30" s="384">
        <f>SUMIF(96:96,G30,97:97)-SUMIF(96:96,C30,97:97)+100</f>
        <v>100</v>
      </c>
      <c r="I30" s="383"/>
      <c r="J30" s="384">
        <f>SUMIF(96:96,I30,97:97)-SUMIF(96:96,C30,97:97)+100</f>
        <v>100</v>
      </c>
      <c r="K30" s="560"/>
      <c r="L30" s="2719"/>
      <c r="M30" s="2713"/>
      <c r="N30" s="2713"/>
      <c r="O30" s="2713"/>
      <c r="P30" s="3704"/>
      <c r="Q30" s="1349">
        <f t="shared" si="11"/>
        <v>111</v>
      </c>
      <c r="R30" s="703" t="s">
        <v>14</v>
      </c>
      <c r="S30" s="704">
        <f t="shared" si="12"/>
        <v>100</v>
      </c>
      <c r="T30" s="703" t="s">
        <v>14</v>
      </c>
      <c r="U30" s="704">
        <f t="shared" si="13"/>
        <v>100</v>
      </c>
      <c r="V30" s="703" t="s">
        <v>14</v>
      </c>
      <c r="W30" s="704">
        <f t="shared" si="14"/>
        <v>100</v>
      </c>
      <c r="X30" s="1352"/>
      <c r="Y30" s="3697"/>
      <c r="Z30" s="1353">
        <f t="shared" si="15"/>
        <v>111</v>
      </c>
      <c r="AA30" s="1350">
        <f t="shared" si="3"/>
        <v>1</v>
      </c>
      <c r="AB30" s="1350">
        <f t="shared" si="4"/>
        <v>1</v>
      </c>
      <c r="AC30" s="1350">
        <f t="shared" si="5"/>
        <v>1</v>
      </c>
    </row>
    <row r="31" spans="1:29" ht="15.6" thickBot="1">
      <c r="A31" s="385"/>
      <c r="B31" s="1130">
        <v>111</v>
      </c>
      <c r="C31" s="386"/>
      <c r="D31" s="387">
        <v>100</v>
      </c>
      <c r="E31" s="383"/>
      <c r="F31" s="388">
        <f>SUMIF(98:98,E31,99:99)-SUMIF(98:98,C31,99:99)+100</f>
        <v>100</v>
      </c>
      <c r="G31" s="383"/>
      <c r="H31" s="387">
        <f>SUMIF(98:98,G31,99:99)-SUMIF(98:98,C31,99:99)+100</f>
        <v>100</v>
      </c>
      <c r="I31" s="383"/>
      <c r="J31" s="387">
        <f>SUMIF(98:98,I31,99:99)-SUMIF(98:98,C31,99:99)+100</f>
        <v>100</v>
      </c>
      <c r="K31" s="560"/>
      <c r="L31" s="2719"/>
      <c r="M31" s="2713"/>
      <c r="N31" s="2713"/>
      <c r="O31" s="2713"/>
      <c r="P31" s="3704"/>
      <c r="Q31" s="1349">
        <f t="shared" si="11"/>
        <v>111</v>
      </c>
      <c r="R31" s="703" t="s">
        <v>14</v>
      </c>
      <c r="S31" s="704">
        <f t="shared" si="12"/>
        <v>100</v>
      </c>
      <c r="T31" s="703" t="s">
        <v>14</v>
      </c>
      <c r="U31" s="704">
        <f t="shared" si="13"/>
        <v>100</v>
      </c>
      <c r="V31" s="703" t="s">
        <v>14</v>
      </c>
      <c r="W31" s="704">
        <f t="shared" si="14"/>
        <v>100</v>
      </c>
      <c r="X31" s="1352"/>
      <c r="Y31" s="3697"/>
      <c r="Z31" s="1353">
        <f t="shared" si="15"/>
        <v>111</v>
      </c>
      <c r="AA31" s="1350">
        <f t="shared" si="3"/>
        <v>1</v>
      </c>
      <c r="AB31" s="1350">
        <f t="shared" si="4"/>
        <v>1</v>
      </c>
      <c r="AC31" s="1350">
        <f t="shared" si="5"/>
        <v>1</v>
      </c>
    </row>
    <row r="32" spans="1:29" ht="15">
      <c r="A32" s="389" t="s">
        <v>1694</v>
      </c>
      <c r="B32" s="63" t="s">
        <v>1784</v>
      </c>
      <c r="C32" s="1907"/>
      <c r="D32" s="416">
        <v>100</v>
      </c>
      <c r="E32" s="1907"/>
      <c r="F32" s="410">
        <f>SUMIF(100:100,E32,101:101)-SUMIF(100:100,C32,101:101)+100</f>
        <v>100</v>
      </c>
      <c r="G32" s="1907"/>
      <c r="H32" s="384">
        <f>SUMIF(100:100,G32,101:101)-SUMIF(100:100,C32,101:101)+100</f>
        <v>100</v>
      </c>
      <c r="I32" s="1907"/>
      <c r="J32" s="416">
        <f>SUMIF(100:100,I32,101:101)-SUMIF(100:100,C32,101:101)+100</f>
        <v>100</v>
      </c>
      <c r="K32" s="559"/>
      <c r="L32" s="2719"/>
      <c r="M32" s="2713"/>
      <c r="N32" s="2713"/>
      <c r="O32" s="2713"/>
      <c r="P32" s="3698" t="s">
        <v>1696</v>
      </c>
      <c r="Q32" s="1349" t="str">
        <f t="shared" si="11"/>
        <v>商业类型</v>
      </c>
      <c r="R32" s="703" t="s">
        <v>14</v>
      </c>
      <c r="S32" s="704">
        <f t="shared" si="12"/>
        <v>100</v>
      </c>
      <c r="T32" s="703" t="s">
        <v>14</v>
      </c>
      <c r="U32" s="704">
        <f t="shared" si="13"/>
        <v>100</v>
      </c>
      <c r="V32" s="703" t="s">
        <v>14</v>
      </c>
      <c r="W32" s="704">
        <f t="shared" si="14"/>
        <v>100</v>
      </c>
      <c r="X32" s="1352"/>
      <c r="Y32" s="3701" t="s">
        <v>1696</v>
      </c>
      <c r="Z32" s="1353" t="str">
        <f t="shared" si="15"/>
        <v>商业类型</v>
      </c>
      <c r="AA32" s="1350">
        <f t="shared" si="3"/>
        <v>1</v>
      </c>
      <c r="AB32" s="1350">
        <f t="shared" si="4"/>
        <v>1</v>
      </c>
      <c r="AC32" s="1350">
        <f t="shared" si="5"/>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8"/>
      <c r="J33" s="125" t="e">
        <f>LOOKUP(I33,103:103,104:104)-LOOKUP(C33,103:103,104:104)+100</f>
        <v>#N/A</v>
      </c>
      <c r="K33" s="560"/>
      <c r="L33" s="2718"/>
      <c r="M33" s="2720"/>
      <c r="N33" s="2720"/>
      <c r="O33" s="2720"/>
      <c r="P33" s="3699"/>
      <c r="Q33" s="705" t="str">
        <f t="shared" si="11"/>
        <v>项目建筑规模</v>
      </c>
      <c r="R33" s="706" t="s">
        <v>14</v>
      </c>
      <c r="S33" s="707" t="e">
        <f t="shared" si="12"/>
        <v>#N/A</v>
      </c>
      <c r="T33" s="706" t="s">
        <v>14</v>
      </c>
      <c r="U33" s="707" t="e">
        <f t="shared" si="13"/>
        <v>#N/A</v>
      </c>
      <c r="V33" s="706" t="s">
        <v>14</v>
      </c>
      <c r="W33" s="707" t="e">
        <f t="shared" si="14"/>
        <v>#N/A</v>
      </c>
      <c r="X33" s="708"/>
      <c r="Y33" s="3701"/>
      <c r="Z33" s="709" t="str">
        <f t="shared" si="15"/>
        <v>项目建筑规模</v>
      </c>
      <c r="AA33" s="1350" t="e">
        <f t="shared" si="3"/>
        <v>#N/A</v>
      </c>
      <c r="AB33" s="1350" t="e">
        <f t="shared" si="4"/>
        <v>#N/A</v>
      </c>
      <c r="AC33" s="1350" t="e">
        <f t="shared" si="5"/>
        <v>#N/A</v>
      </c>
    </row>
    <row r="34" spans="1:29" ht="15">
      <c r="A34" s="421"/>
      <c r="B34" s="373" t="s">
        <v>1698</v>
      </c>
      <c r="C34" s="1909"/>
      <c r="D34" s="384">
        <v>100</v>
      </c>
      <c r="E34" s="1909"/>
      <c r="F34" s="410">
        <f>SUMIF(105:105,E34,106:106)-SUMIF(105:105,C34,106:106)+100</f>
        <v>100</v>
      </c>
      <c r="G34" s="1909"/>
      <c r="H34" s="384">
        <f>SUMIF(105:105,G34,106:106)-SUMIF(105:105,C34,106:106)+100</f>
        <v>100</v>
      </c>
      <c r="I34" s="1909"/>
      <c r="J34" s="384">
        <f>SUMIF(105:105,I34,106:106)-SUMIF(105:105,C34,106:106)+100</f>
        <v>100</v>
      </c>
      <c r="K34" s="559"/>
      <c r="L34" s="2719"/>
      <c r="M34" s="2713"/>
      <c r="N34" s="2713"/>
      <c r="O34" s="2713"/>
      <c r="P34" s="3699"/>
      <c r="Q34" s="1349" t="str">
        <f t="shared" si="11"/>
        <v>建筑结构</v>
      </c>
      <c r="R34" s="703" t="s">
        <v>14</v>
      </c>
      <c r="S34" s="704">
        <f t="shared" si="12"/>
        <v>100</v>
      </c>
      <c r="T34" s="703" t="s">
        <v>14</v>
      </c>
      <c r="U34" s="704">
        <f t="shared" si="13"/>
        <v>100</v>
      </c>
      <c r="V34" s="703" t="s">
        <v>14</v>
      </c>
      <c r="W34" s="704">
        <f t="shared" si="14"/>
        <v>100</v>
      </c>
      <c r="X34" s="1352"/>
      <c r="Y34" s="3701"/>
      <c r="Z34" s="1353" t="str">
        <f t="shared" si="15"/>
        <v>建筑结构</v>
      </c>
      <c r="AA34" s="1350">
        <f t="shared" si="3"/>
        <v>1</v>
      </c>
      <c r="AB34" s="1350">
        <f t="shared" si="4"/>
        <v>1</v>
      </c>
      <c r="AC34" s="1350">
        <f t="shared" si="5"/>
        <v>1</v>
      </c>
    </row>
    <row r="35" spans="1:29" ht="15">
      <c r="A35" s="421"/>
      <c r="B35" s="373" t="s">
        <v>1785</v>
      </c>
      <c r="C35" s="1903"/>
      <c r="D35" s="384">
        <v>100</v>
      </c>
      <c r="E35" s="1903"/>
      <c r="F35" s="410">
        <f>SUMIF(107:107,E35,108:108)-SUMIF(107:107,C35,108:108)+100</f>
        <v>100</v>
      </c>
      <c r="G35" s="1903"/>
      <c r="H35" s="384">
        <f>SUMIF(107:107,G35,108:108)-SUMIF(107:107,C35,108:108)+100</f>
        <v>100</v>
      </c>
      <c r="I35" s="1903"/>
      <c r="J35" s="384">
        <f>SUMIF(107:107,I35,108:108)-SUMIF(107:107,C35,108:108)+100</f>
        <v>100</v>
      </c>
      <c r="K35" s="559"/>
      <c r="L35" s="2719"/>
      <c r="M35" s="2713"/>
      <c r="N35" s="2713"/>
      <c r="O35" s="2713"/>
      <c r="P35" s="3699"/>
      <c r="Q35" s="1349" t="str">
        <f t="shared" si="11"/>
        <v>公共部分装修</v>
      </c>
      <c r="R35" s="703" t="s">
        <v>14</v>
      </c>
      <c r="S35" s="704">
        <f t="shared" si="12"/>
        <v>100</v>
      </c>
      <c r="T35" s="703" t="s">
        <v>14</v>
      </c>
      <c r="U35" s="704">
        <f t="shared" si="13"/>
        <v>100</v>
      </c>
      <c r="V35" s="703" t="s">
        <v>14</v>
      </c>
      <c r="W35" s="704">
        <f t="shared" si="14"/>
        <v>100</v>
      </c>
      <c r="X35" s="1352"/>
      <c r="Y35" s="3701"/>
      <c r="Z35" s="1353" t="str">
        <f t="shared" si="15"/>
        <v>公共部分装修</v>
      </c>
      <c r="AA35" s="1350">
        <f t="shared" si="3"/>
        <v>1</v>
      </c>
      <c r="AB35" s="1350">
        <f t="shared" si="4"/>
        <v>1</v>
      </c>
      <c r="AC35" s="1350">
        <f t="shared" si="5"/>
        <v>1</v>
      </c>
    </row>
    <row r="36" spans="1:29" ht="15">
      <c r="A36" s="421"/>
      <c r="B36" s="373" t="s">
        <v>1786</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719"/>
      <c r="M36" s="2713"/>
      <c r="N36" s="2713"/>
      <c r="O36" s="2713"/>
      <c r="P36" s="3699"/>
      <c r="Q36" s="1349" t="str">
        <f t="shared" si="11"/>
        <v>成新度</v>
      </c>
      <c r="R36" s="703" t="s">
        <v>14</v>
      </c>
      <c r="S36" s="704" t="e">
        <f t="shared" si="12"/>
        <v>#N/A</v>
      </c>
      <c r="T36" s="703" t="s">
        <v>14</v>
      </c>
      <c r="U36" s="704" t="e">
        <f t="shared" si="13"/>
        <v>#N/A</v>
      </c>
      <c r="V36" s="703" t="s">
        <v>14</v>
      </c>
      <c r="W36" s="704" t="e">
        <f t="shared" si="14"/>
        <v>#N/A</v>
      </c>
      <c r="X36" s="1352"/>
      <c r="Y36" s="3701"/>
      <c r="Z36" s="1353" t="str">
        <f t="shared" si="15"/>
        <v>成新度</v>
      </c>
      <c r="AA36" s="1350" t="e">
        <f t="shared" si="3"/>
        <v>#N/A</v>
      </c>
      <c r="AB36" s="1350" t="e">
        <f t="shared" si="4"/>
        <v>#N/A</v>
      </c>
      <c r="AC36" s="1350" t="e">
        <f t="shared" si="5"/>
        <v>#N/A</v>
      </c>
    </row>
    <row r="37" spans="1:29" s="107" customFormat="1" ht="15">
      <c r="A37" s="422"/>
      <c r="B37" s="373" t="s">
        <v>1787</v>
      </c>
      <c r="C37" s="1903"/>
      <c r="D37" s="125">
        <v>100</v>
      </c>
      <c r="E37" s="1903"/>
      <c r="F37" s="410">
        <f>SUMIF(112:112,E37,113:113)-SUMIF(112:112,C37,113:113)+100</f>
        <v>100</v>
      </c>
      <c r="G37" s="1903"/>
      <c r="H37" s="384">
        <f>SUMIF(112:112,G37,113:113)-SUMIF(112:112,C37,113:113)+100</f>
        <v>100</v>
      </c>
      <c r="I37" s="1903"/>
      <c r="J37" s="384">
        <f>SUMIF(112:112,I37,113:113)-SUMIF(112:112,C37,113:113)+100</f>
        <v>100</v>
      </c>
      <c r="K37" s="559"/>
      <c r="L37" s="2714"/>
      <c r="M37" s="2715"/>
      <c r="N37" s="2715"/>
      <c r="O37" s="2715"/>
      <c r="P37" s="3699"/>
      <c r="Q37" s="1340" t="str">
        <f t="shared" si="11"/>
        <v>市政基础设施</v>
      </c>
      <c r="R37" s="699" t="s">
        <v>14</v>
      </c>
      <c r="S37" s="700">
        <f t="shared" si="12"/>
        <v>100</v>
      </c>
      <c r="T37" s="699" t="s">
        <v>14</v>
      </c>
      <c r="U37" s="700">
        <f t="shared" si="13"/>
        <v>100</v>
      </c>
      <c r="V37" s="699" t="s">
        <v>14</v>
      </c>
      <c r="W37" s="700">
        <f t="shared" si="14"/>
        <v>100</v>
      </c>
      <c r="X37" s="701"/>
      <c r="Y37" s="3701"/>
      <c r="Z37" s="52" t="str">
        <f t="shared" si="15"/>
        <v>市政基础设施</v>
      </c>
      <c r="AA37" s="702">
        <f t="shared" si="3"/>
        <v>1</v>
      </c>
      <c r="AB37" s="702">
        <f t="shared" si="4"/>
        <v>1</v>
      </c>
      <c r="AC37" s="702">
        <f t="shared" si="5"/>
        <v>1</v>
      </c>
    </row>
    <row r="38" spans="1:29" ht="15">
      <c r="A38" s="421"/>
      <c r="B38" s="373" t="s">
        <v>1788</v>
      </c>
      <c r="C38" s="1903"/>
      <c r="D38" s="384">
        <v>100</v>
      </c>
      <c r="E38" s="1903"/>
      <c r="F38" s="410">
        <f>SUMIF(114:114,E38,115:115)-SUMIF(114:114,C38,115:115)+100</f>
        <v>100</v>
      </c>
      <c r="G38" s="1903"/>
      <c r="H38" s="384">
        <f>SUMIF(114:114,G38,115:115)-SUMIF(114:114,C38,115:115)+100</f>
        <v>100</v>
      </c>
      <c r="I38" s="1903"/>
      <c r="J38" s="384">
        <f>SUMIF(114:114,I38,115:115)-SUMIF(114:114,C38,115:115)+100</f>
        <v>100</v>
      </c>
      <c r="K38" s="559"/>
      <c r="L38" s="2719"/>
      <c r="M38" s="2713"/>
      <c r="N38" s="2713"/>
      <c r="O38" s="2713"/>
      <c r="P38" s="3699" t="s">
        <v>1696</v>
      </c>
      <c r="Q38" s="1349" t="str">
        <f t="shared" si="11"/>
        <v>业态</v>
      </c>
      <c r="R38" s="703" t="s">
        <v>14</v>
      </c>
      <c r="S38" s="704">
        <f t="shared" si="12"/>
        <v>100</v>
      </c>
      <c r="T38" s="703" t="s">
        <v>14</v>
      </c>
      <c r="U38" s="704">
        <f t="shared" si="13"/>
        <v>100</v>
      </c>
      <c r="V38" s="703" t="s">
        <v>14</v>
      </c>
      <c r="W38" s="704">
        <f t="shared" si="14"/>
        <v>100</v>
      </c>
      <c r="X38" s="1352"/>
      <c r="Y38" s="3701" t="s">
        <v>1696</v>
      </c>
      <c r="Z38" s="1353" t="str">
        <f t="shared" si="15"/>
        <v>业态</v>
      </c>
      <c r="AA38" s="1350">
        <f t="shared" si="3"/>
        <v>1</v>
      </c>
      <c r="AB38" s="1350">
        <f t="shared" si="4"/>
        <v>1</v>
      </c>
      <c r="AC38" s="1350">
        <f t="shared" si="5"/>
        <v>1</v>
      </c>
    </row>
    <row r="39" spans="1:29" ht="15">
      <c r="A39" s="421"/>
      <c r="B39" s="373" t="s">
        <v>1789</v>
      </c>
      <c r="C39" s="1903"/>
      <c r="D39" s="384">
        <v>100</v>
      </c>
      <c r="E39" s="1903"/>
      <c r="F39" s="410">
        <f>SUMIF(116:116,E39,117:117)-SUMIF(116:116,C39,117:117)+100</f>
        <v>100</v>
      </c>
      <c r="G39" s="1903"/>
      <c r="H39" s="384">
        <f>SUMIF(116:116,G39,117:117)-SUMIF(116:116,C39,117:117)+100</f>
        <v>100</v>
      </c>
      <c r="I39" s="1903"/>
      <c r="J39" s="384">
        <f>SUMIF(116:116,I39,117:117)-SUMIF(116:116,C39,117:117)+100</f>
        <v>100</v>
      </c>
      <c r="K39" s="559"/>
      <c r="L39" s="2719"/>
      <c r="M39" s="2713"/>
      <c r="N39" s="2713"/>
      <c r="O39" s="2713"/>
      <c r="P39" s="3699"/>
      <c r="Q39" s="1349" t="str">
        <f t="shared" si="11"/>
        <v>层高</v>
      </c>
      <c r="R39" s="703" t="s">
        <v>14</v>
      </c>
      <c r="S39" s="704">
        <f t="shared" si="12"/>
        <v>100</v>
      </c>
      <c r="T39" s="703" t="s">
        <v>14</v>
      </c>
      <c r="U39" s="704">
        <f t="shared" si="13"/>
        <v>100</v>
      </c>
      <c r="V39" s="703" t="s">
        <v>14</v>
      </c>
      <c r="W39" s="704">
        <f t="shared" si="14"/>
        <v>100</v>
      </c>
      <c r="X39" s="1352"/>
      <c r="Y39" s="3701"/>
      <c r="Z39" s="1353" t="str">
        <f t="shared" si="15"/>
        <v>层高</v>
      </c>
      <c r="AA39" s="1350">
        <f t="shared" si="3"/>
        <v>1</v>
      </c>
      <c r="AB39" s="1350">
        <f t="shared" si="4"/>
        <v>1</v>
      </c>
      <c r="AC39" s="1350">
        <f t="shared" si="5"/>
        <v>1</v>
      </c>
    </row>
    <row r="40" spans="1:29" ht="15">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9"/>
      <c r="M40" s="2713"/>
      <c r="N40" s="2713"/>
      <c r="O40" s="2713"/>
      <c r="P40" s="3699"/>
      <c r="Q40" s="1349" t="str">
        <f t="shared" si="11"/>
        <v>单套建筑面积</v>
      </c>
      <c r="R40" s="703" t="s">
        <v>14</v>
      </c>
      <c r="S40" s="704">
        <f t="shared" si="12"/>
        <v>100</v>
      </c>
      <c r="T40" s="703" t="s">
        <v>14</v>
      </c>
      <c r="U40" s="704">
        <f t="shared" si="13"/>
        <v>100</v>
      </c>
      <c r="V40" s="703" t="s">
        <v>14</v>
      </c>
      <c r="W40" s="704">
        <f t="shared" si="14"/>
        <v>100</v>
      </c>
      <c r="X40" s="1352"/>
      <c r="Y40" s="3701"/>
      <c r="Z40" s="1353" t="str">
        <f t="shared" si="15"/>
        <v>单套建筑面积</v>
      </c>
      <c r="AA40" s="1350">
        <f t="shared" si="3"/>
        <v>1</v>
      </c>
      <c r="AB40" s="1350">
        <f t="shared" si="4"/>
        <v>1</v>
      </c>
      <c r="AC40" s="1350">
        <f t="shared" si="5"/>
        <v>1</v>
      </c>
    </row>
    <row r="41" spans="1:29" s="420" customFormat="1" ht="15">
      <c r="A41" s="417"/>
      <c r="B41" s="1351"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8"/>
      <c r="M41" s="2720"/>
      <c r="N41" s="2720"/>
      <c r="O41" s="2720"/>
      <c r="P41" s="3699"/>
      <c r="Q41" s="705" t="str">
        <f t="shared" si="11"/>
        <v>进深比</v>
      </c>
      <c r="R41" s="706" t="s">
        <v>14</v>
      </c>
      <c r="S41" s="707">
        <f t="shared" si="12"/>
        <v>100</v>
      </c>
      <c r="T41" s="706" t="s">
        <v>14</v>
      </c>
      <c r="U41" s="707">
        <f t="shared" si="13"/>
        <v>100</v>
      </c>
      <c r="V41" s="706" t="s">
        <v>14</v>
      </c>
      <c r="W41" s="707">
        <f t="shared" si="14"/>
        <v>100</v>
      </c>
      <c r="X41" s="708"/>
      <c r="Y41" s="3701"/>
      <c r="Z41" s="709" t="str">
        <f t="shared" si="15"/>
        <v>进深比</v>
      </c>
      <c r="AA41" s="1350">
        <f t="shared" si="3"/>
        <v>1</v>
      </c>
      <c r="AB41" s="1350">
        <f t="shared" si="4"/>
        <v>1</v>
      </c>
      <c r="AC41" s="1350">
        <f t="shared" si="5"/>
        <v>1</v>
      </c>
    </row>
    <row r="42" spans="1:29" ht="15">
      <c r="A42" s="421"/>
      <c r="B42" s="373" t="s">
        <v>1792</v>
      </c>
      <c r="C42" s="1903"/>
      <c r="D42" s="384">
        <v>100</v>
      </c>
      <c r="E42" s="1903"/>
      <c r="F42" s="410">
        <f>SUMIF(122:122,E42,123:123)-SUMIF(122:122,C42,123:123)+100</f>
        <v>100</v>
      </c>
      <c r="G42" s="1903"/>
      <c r="H42" s="384">
        <f>SUMIF(122:122,G42,123:123)-SUMIF(122:122,C42,123:123)+100</f>
        <v>100</v>
      </c>
      <c r="I42" s="1903"/>
      <c r="J42" s="384">
        <f>SUMIF(122:122,I42,123:123)-SUMIF(122:122,C42,123:123)+100</f>
        <v>100</v>
      </c>
      <c r="K42" s="559"/>
      <c r="L42" s="2719"/>
      <c r="M42" s="2713"/>
      <c r="N42" s="2713"/>
      <c r="O42" s="2713"/>
      <c r="P42" s="3699"/>
      <c r="Q42" s="1349" t="str">
        <f t="shared" si="11"/>
        <v>内部装修</v>
      </c>
      <c r="R42" s="703" t="s">
        <v>14</v>
      </c>
      <c r="S42" s="704">
        <f t="shared" si="12"/>
        <v>100</v>
      </c>
      <c r="T42" s="703" t="s">
        <v>14</v>
      </c>
      <c r="U42" s="704">
        <f t="shared" si="13"/>
        <v>100</v>
      </c>
      <c r="V42" s="703" t="s">
        <v>14</v>
      </c>
      <c r="W42" s="704">
        <f t="shared" si="14"/>
        <v>100</v>
      </c>
      <c r="X42" s="1352"/>
      <c r="Y42" s="3701"/>
      <c r="Z42" s="1353" t="str">
        <f t="shared" si="15"/>
        <v>内部装修</v>
      </c>
      <c r="AA42" s="1350">
        <f t="shared" si="3"/>
        <v>1</v>
      </c>
      <c r="AB42" s="1350">
        <f t="shared" si="4"/>
        <v>1</v>
      </c>
      <c r="AC42" s="1350">
        <f t="shared" si="5"/>
        <v>1</v>
      </c>
    </row>
    <row r="43" spans="1:29" ht="28.8">
      <c r="A43" s="421"/>
      <c r="B43" s="373" t="s">
        <v>1707</v>
      </c>
      <c r="C43" s="1903"/>
      <c r="D43" s="384">
        <v>100</v>
      </c>
      <c r="E43" s="1903"/>
      <c r="F43" s="410">
        <f>SUMIF(124:124,E43,125:125)-SUMIF(124:124,C43,125:125)+100</f>
        <v>100</v>
      </c>
      <c r="G43" s="1903"/>
      <c r="H43" s="384">
        <f>SUMIF(124:124,G43,125:125)-SUMIF(124:124,C43,125:125)+100</f>
        <v>100</v>
      </c>
      <c r="I43" s="1903"/>
      <c r="J43" s="384">
        <f>SUMIF(124:124,I43,125:125)-SUMIF(124:124,C43,125:125)+100</f>
        <v>100</v>
      </c>
      <c r="K43" s="559"/>
      <c r="L43" s="2719"/>
      <c r="M43" s="2713"/>
      <c r="N43" s="2713"/>
      <c r="O43" s="2713"/>
      <c r="P43" s="3699"/>
      <c r="Q43" s="1349" t="str">
        <f t="shared" si="11"/>
        <v>内部装修维护情况</v>
      </c>
      <c r="R43" s="703" t="s">
        <v>14</v>
      </c>
      <c r="S43" s="704">
        <f t="shared" si="12"/>
        <v>100</v>
      </c>
      <c r="T43" s="703" t="s">
        <v>14</v>
      </c>
      <c r="U43" s="704">
        <f t="shared" si="13"/>
        <v>100</v>
      </c>
      <c r="V43" s="703" t="s">
        <v>14</v>
      </c>
      <c r="W43" s="704">
        <f t="shared" si="14"/>
        <v>100</v>
      </c>
      <c r="X43" s="1352"/>
      <c r="Y43" s="3701"/>
      <c r="Z43" s="1353" t="str">
        <f t="shared" si="15"/>
        <v>内部装修维护情况</v>
      </c>
      <c r="AA43" s="1350">
        <f t="shared" si="3"/>
        <v>1</v>
      </c>
      <c r="AB43" s="1350">
        <f t="shared" si="4"/>
        <v>1</v>
      </c>
      <c r="AC43" s="1350">
        <f t="shared" si="5"/>
        <v>1</v>
      </c>
    </row>
    <row r="44" spans="1:29" s="107" customFormat="1" ht="15">
      <c r="A44" s="422"/>
      <c r="B44" s="1130">
        <v>111</v>
      </c>
      <c r="C44" s="418"/>
      <c r="D44" s="125">
        <v>100</v>
      </c>
      <c r="E44" s="383"/>
      <c r="F44" s="374">
        <f>SUMIF(126:126,E44,127:127)-SUMIF(126:126,C44,127:127)+100</f>
        <v>100</v>
      </c>
      <c r="G44" s="383"/>
      <c r="H44" s="125">
        <f>SUMIF(126:126,G44,127:127)-SUMIF(126:126,C44,127:127)+100</f>
        <v>100</v>
      </c>
      <c r="I44" s="383"/>
      <c r="J44" s="125">
        <f>SUMIF(126:126,I44,127:127)-SUMIF(126:126,C44,127:127)+100</f>
        <v>100</v>
      </c>
      <c r="K44" s="560"/>
      <c r="L44" s="2714"/>
      <c r="M44" s="2715"/>
      <c r="N44" s="2715"/>
      <c r="O44" s="2715"/>
      <c r="P44" s="3699"/>
      <c r="Q44" s="1340">
        <f t="shared" si="11"/>
        <v>111</v>
      </c>
      <c r="R44" s="699" t="s">
        <v>14</v>
      </c>
      <c r="S44" s="700">
        <f t="shared" si="12"/>
        <v>100</v>
      </c>
      <c r="T44" s="699" t="s">
        <v>14</v>
      </c>
      <c r="U44" s="700">
        <f t="shared" si="13"/>
        <v>100</v>
      </c>
      <c r="V44" s="699" t="s">
        <v>14</v>
      </c>
      <c r="W44" s="700">
        <f t="shared" si="14"/>
        <v>100</v>
      </c>
      <c r="X44" s="701"/>
      <c r="Y44" s="3701"/>
      <c r="Z44" s="52">
        <f t="shared" si="15"/>
        <v>111</v>
      </c>
      <c r="AA44" s="702">
        <f t="shared" si="3"/>
        <v>1</v>
      </c>
      <c r="AB44" s="702">
        <f t="shared" si="4"/>
        <v>1</v>
      </c>
      <c r="AC44" s="702">
        <f t="shared" si="5"/>
        <v>1</v>
      </c>
    </row>
    <row r="45" spans="1:29" ht="15">
      <c r="A45" s="421"/>
      <c r="B45" s="1130">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9"/>
      <c r="M45" s="2713"/>
      <c r="N45" s="2713"/>
      <c r="O45" s="2713"/>
      <c r="P45" s="3699"/>
      <c r="Q45" s="1349">
        <f t="shared" si="11"/>
        <v>111</v>
      </c>
      <c r="R45" s="703" t="s">
        <v>14</v>
      </c>
      <c r="S45" s="704">
        <f t="shared" si="12"/>
        <v>100</v>
      </c>
      <c r="T45" s="703" t="s">
        <v>14</v>
      </c>
      <c r="U45" s="704">
        <f t="shared" si="13"/>
        <v>100</v>
      </c>
      <c r="V45" s="703" t="s">
        <v>14</v>
      </c>
      <c r="W45" s="704">
        <f t="shared" si="14"/>
        <v>100</v>
      </c>
      <c r="X45" s="1352"/>
      <c r="Y45" s="3701"/>
      <c r="Z45" s="1353">
        <f t="shared" si="15"/>
        <v>111</v>
      </c>
      <c r="AA45" s="1350">
        <f t="shared" si="3"/>
        <v>1</v>
      </c>
      <c r="AB45" s="1350">
        <f t="shared" si="4"/>
        <v>1</v>
      </c>
      <c r="AC45" s="1350">
        <f t="shared" si="5"/>
        <v>1</v>
      </c>
    </row>
    <row r="46" spans="1:29" ht="15.6" thickBot="1">
      <c r="A46" s="427"/>
      <c r="B46" s="1892">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9"/>
      <c r="M46" s="2713"/>
      <c r="N46" s="2713"/>
      <c r="O46" s="2713"/>
      <c r="P46" s="3700"/>
      <c r="Q46" s="1349">
        <f t="shared" si="11"/>
        <v>111</v>
      </c>
      <c r="R46" s="703" t="s">
        <v>14</v>
      </c>
      <c r="S46" s="704">
        <f t="shared" si="12"/>
        <v>100</v>
      </c>
      <c r="T46" s="703" t="s">
        <v>14</v>
      </c>
      <c r="U46" s="704">
        <f t="shared" si="13"/>
        <v>100</v>
      </c>
      <c r="V46" s="703" t="s">
        <v>14</v>
      </c>
      <c r="W46" s="704">
        <f t="shared" si="14"/>
        <v>100</v>
      </c>
      <c r="X46" s="1352"/>
      <c r="Y46" s="3702"/>
      <c r="Z46" s="1353">
        <f t="shared" si="15"/>
        <v>111</v>
      </c>
      <c r="AA46" s="1350">
        <f t="shared" si="3"/>
        <v>1</v>
      </c>
      <c r="AB46" s="1350">
        <f t="shared" si="4"/>
        <v>1</v>
      </c>
      <c r="AC46" s="1350">
        <f t="shared" si="5"/>
        <v>1</v>
      </c>
    </row>
    <row r="47" spans="1:29" ht="14.4">
      <c r="A47" s="428" t="s">
        <v>1708</v>
      </c>
      <c r="B47" s="429"/>
      <c r="C47" s="1151" t="s">
        <v>0</v>
      </c>
      <c r="D47" s="1152"/>
      <c r="E47" s="1153"/>
      <c r="F47" s="1154"/>
      <c r="G47" s="1155"/>
      <c r="H47" s="1156"/>
      <c r="I47" s="1153"/>
      <c r="J47" s="1156"/>
      <c r="K47" s="712"/>
      <c r="L47" s="2721"/>
      <c r="M47" s="2722"/>
      <c r="N47" s="2713"/>
      <c r="O47" s="2722"/>
      <c r="P47" s="3694" t="str">
        <f>A47</f>
        <v>成交单价（元/平方米）</v>
      </c>
      <c r="Q47" s="3694"/>
      <c r="R47" s="3725">
        <f>E47</f>
        <v>0</v>
      </c>
      <c r="S47" s="3725"/>
      <c r="T47" s="3725">
        <f>G47</f>
        <v>0</v>
      </c>
      <c r="U47" s="3725"/>
      <c r="V47" s="3725">
        <f>I47</f>
        <v>0</v>
      </c>
      <c r="W47" s="3725"/>
      <c r="X47" s="688"/>
      <c r="Y47" s="710"/>
      <c r="Z47" s="688"/>
      <c r="AA47" s="688"/>
      <c r="AB47" s="688"/>
      <c r="AC47" s="688"/>
    </row>
    <row r="48" spans="1:29" ht="15" thickBot="1">
      <c r="A48" s="435" t="s">
        <v>1793</v>
      </c>
      <c r="B48" s="436"/>
      <c r="C48" s="1157" t="e">
        <f>R49</f>
        <v>#DIV/0!</v>
      </c>
      <c r="D48" s="2314" t="s">
        <v>2138</v>
      </c>
      <c r="E48" s="1158" t="e">
        <f>R48</f>
        <v>#DIV/0!</v>
      </c>
      <c r="F48" s="2315"/>
      <c r="G48" s="1157" t="e">
        <f>T48</f>
        <v>#DIV/0!</v>
      </c>
      <c r="H48" s="2315"/>
      <c r="I48" s="1158" t="e">
        <f>V48</f>
        <v>#DIV/0!</v>
      </c>
      <c r="J48" s="2315"/>
      <c r="K48" s="2317">
        <f>F48+H48+J48</f>
        <v>0</v>
      </c>
      <c r="L48" s="2721"/>
      <c r="M48" s="2722"/>
      <c r="N48" s="2713"/>
      <c r="O48" s="2722"/>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88"/>
      <c r="Y48" s="688"/>
      <c r="Z48" s="688"/>
      <c r="AA48" s="688"/>
      <c r="AB48" s="688"/>
      <c r="AC48" s="688"/>
    </row>
    <row r="49" spans="1:29" ht="15" thickBot="1">
      <c r="A49" s="439" t="s">
        <v>1794</v>
      </c>
      <c r="B49" s="440"/>
      <c r="C49" s="1160" t="e">
        <f>R49</f>
        <v>#DIV/0!</v>
      </c>
      <c r="D49" s="1160"/>
      <c r="E49" s="1160"/>
      <c r="F49" s="1160"/>
      <c r="G49" s="1160"/>
      <c r="H49" s="1160"/>
      <c r="I49" s="1160"/>
      <c r="J49" s="1160"/>
      <c r="K49" s="713"/>
      <c r="L49" s="2721"/>
      <c r="M49" s="2722"/>
      <c r="N49" s="2713"/>
      <c r="O49" s="2722"/>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4" t="s">
        <v>1795</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4" t="s">
        <v>1796</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49" customFormat="1" ht="13.5" customHeight="1">
      <c r="A54" s="2725"/>
      <c r="B54" s="2725"/>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49"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2.2" thickBot="1">
      <c r="A57" s="692" t="s">
        <v>1798</v>
      </c>
      <c r="B57" s="688"/>
      <c r="C57" s="693"/>
      <c r="D57" s="693"/>
      <c r="E57" s="693"/>
      <c r="F57" s="694"/>
      <c r="G57" s="694"/>
      <c r="H57" s="693"/>
      <c r="I57" s="693"/>
      <c r="J57" s="693"/>
      <c r="K57" s="695"/>
      <c r="L57" s="939"/>
      <c r="M57" s="937"/>
      <c r="N57" s="937"/>
      <c r="O57" s="937"/>
      <c r="P57" s="2735"/>
      <c r="Q57" s="2736"/>
      <c r="R57" s="2722"/>
      <c r="S57" s="2722"/>
      <c r="T57" s="2722"/>
      <c r="U57" s="2722"/>
      <c r="V57" s="2722"/>
      <c r="W57" s="2722"/>
      <c r="X57" s="2722"/>
      <c r="Y57" s="2722"/>
      <c r="Z57" s="2722"/>
      <c r="AA57" s="2722"/>
      <c r="AB57" s="2722"/>
      <c r="AC57" s="2722"/>
    </row>
    <row r="58" spans="1:29" s="455" customFormat="1" ht="14.4">
      <c r="A58" s="452" t="s">
        <v>1679</v>
      </c>
      <c r="B58" s="453"/>
      <c r="C58" s="1181" t="str">
        <f>YEAR(C7)&amp;"-"&amp;MONTH(C7)</f>
        <v>2022-12</v>
      </c>
      <c r="D58" s="1182">
        <f>EDATE(C58,-1)</f>
        <v>44866</v>
      </c>
      <c r="E58" s="1182">
        <f t="shared" ref="E58:N58" si="16">EDATE(D58,-1)</f>
        <v>44835</v>
      </c>
      <c r="F58" s="1182">
        <f t="shared" si="16"/>
        <v>44805</v>
      </c>
      <c r="G58" s="1182">
        <f t="shared" si="16"/>
        <v>44774</v>
      </c>
      <c r="H58" s="1182">
        <f t="shared" si="16"/>
        <v>44743</v>
      </c>
      <c r="I58" s="1182">
        <f t="shared" si="16"/>
        <v>44713</v>
      </c>
      <c r="J58" s="1182">
        <f t="shared" si="16"/>
        <v>44682</v>
      </c>
      <c r="K58" s="1182">
        <f t="shared" si="16"/>
        <v>44652</v>
      </c>
      <c r="L58" s="1182">
        <f t="shared" si="16"/>
        <v>44621</v>
      </c>
      <c r="M58" s="1182">
        <f t="shared" si="16"/>
        <v>44593</v>
      </c>
      <c r="N58" s="1182">
        <f t="shared" si="16"/>
        <v>44562</v>
      </c>
      <c r="O58" s="1182">
        <f>EDATE(N58,-1)</f>
        <v>44531</v>
      </c>
      <c r="P58" s="2737"/>
      <c r="Q58" s="2738"/>
      <c r="R58" s="2738"/>
      <c r="S58" s="2738"/>
      <c r="T58" s="2738"/>
      <c r="U58" s="2738"/>
      <c r="V58" s="2738"/>
      <c r="W58" s="2738"/>
      <c r="X58" s="2738"/>
      <c r="Y58" s="2738"/>
      <c r="Z58" s="2738"/>
      <c r="AA58" s="2738"/>
      <c r="AB58" s="2738"/>
      <c r="AC58" s="2738"/>
    </row>
    <row r="59" spans="1:29" s="107" customFormat="1">
      <c r="A59" s="456"/>
      <c r="B59" s="457"/>
      <c r="C59" s="1180">
        <v>100</v>
      </c>
      <c r="D59" s="459"/>
      <c r="E59" s="459"/>
      <c r="F59" s="459"/>
      <c r="G59" s="459"/>
      <c r="H59" s="459"/>
      <c r="I59" s="459"/>
      <c r="J59" s="459"/>
      <c r="K59" s="459"/>
      <c r="L59" s="459"/>
      <c r="M59" s="460"/>
      <c r="N59" s="459"/>
      <c r="O59" s="460"/>
      <c r="P59" s="2739"/>
      <c r="Q59" s="2658"/>
      <c r="R59" s="2658"/>
      <c r="S59" s="2658"/>
      <c r="T59" s="2658"/>
      <c r="U59" s="2658"/>
      <c r="V59" s="2658"/>
      <c r="W59" s="2658"/>
      <c r="X59" s="2658"/>
      <c r="Y59" s="2658"/>
      <c r="Z59" s="2658"/>
      <c r="AA59" s="2658"/>
      <c r="AB59" s="2658"/>
      <c r="AC59" s="2658"/>
    </row>
    <row r="60" spans="1:29" s="107" customFormat="1" ht="15" thickBot="1">
      <c r="A60" s="462" t="s">
        <v>1716</v>
      </c>
      <c r="B60" s="463"/>
      <c r="C60" s="464"/>
      <c r="D60" s="465"/>
      <c r="E60" s="465"/>
      <c r="F60" s="465"/>
      <c r="G60" s="465"/>
      <c r="H60" s="465"/>
      <c r="I60" s="465"/>
      <c r="J60" s="465"/>
      <c r="K60" s="465"/>
      <c r="L60" s="465"/>
      <c r="M60" s="466"/>
      <c r="N60" s="465"/>
      <c r="O60" s="466"/>
      <c r="P60" s="2739"/>
      <c r="Q60" s="2736"/>
      <c r="R60" s="2658"/>
      <c r="S60" s="2658"/>
      <c r="T60" s="2658"/>
      <c r="U60" s="2658"/>
      <c r="V60" s="2658"/>
      <c r="W60" s="2658"/>
      <c r="X60" s="2658"/>
      <c r="Y60" s="2658"/>
      <c r="Z60" s="2658"/>
      <c r="AA60" s="2658"/>
      <c r="AB60" s="2658"/>
      <c r="AC60" s="2658"/>
    </row>
    <row r="61" spans="1:29" s="107" customFormat="1" ht="14.4">
      <c r="A61" s="468" t="s">
        <v>1681</v>
      </c>
      <c r="B61" s="457"/>
      <c r="C61" s="469" t="s">
        <v>1776</v>
      </c>
      <c r="D61" s="470"/>
      <c r="E61" s="470"/>
      <c r="F61" s="470"/>
      <c r="G61" s="470"/>
      <c r="H61" s="470"/>
      <c r="I61" s="470"/>
      <c r="J61" s="470"/>
      <c r="K61" s="470"/>
      <c r="L61" s="471"/>
      <c r="M61" s="472"/>
      <c r="N61" s="2749"/>
      <c r="O61" s="2749"/>
      <c r="P61" s="2740"/>
      <c r="Q61" s="2736"/>
      <c r="R61" s="2658"/>
      <c r="S61" s="2658"/>
      <c r="T61" s="2658"/>
      <c r="U61" s="2658"/>
      <c r="V61" s="2658"/>
      <c r="W61" s="2658"/>
      <c r="X61" s="2658"/>
      <c r="Y61" s="2658"/>
      <c r="Z61" s="2658"/>
      <c r="AA61" s="2658"/>
      <c r="AB61" s="2658"/>
      <c r="AC61" s="2658"/>
    </row>
    <row r="62" spans="1:29" s="107" customFormat="1" ht="14.4" thickBot="1">
      <c r="A62" s="468"/>
      <c r="B62" s="457"/>
      <c r="C62" s="458">
        <v>100</v>
      </c>
      <c r="D62" s="459"/>
      <c r="E62" s="459"/>
      <c r="F62" s="459"/>
      <c r="G62" s="459"/>
      <c r="H62" s="459"/>
      <c r="I62" s="459"/>
      <c r="J62" s="459"/>
      <c r="K62" s="459"/>
      <c r="L62" s="459"/>
      <c r="M62" s="461"/>
      <c r="N62" s="2749"/>
      <c r="O62" s="2749"/>
      <c r="P62" s="2739"/>
      <c r="Q62" s="2736"/>
      <c r="R62" s="2658"/>
      <c r="S62" s="2658"/>
      <c r="T62" s="2658"/>
      <c r="U62" s="2658"/>
      <c r="V62" s="2658"/>
      <c r="W62" s="2658"/>
      <c r="X62" s="2658"/>
      <c r="Y62" s="2658"/>
      <c r="Z62" s="2658"/>
      <c r="AA62" s="2658"/>
      <c r="AB62" s="2658"/>
      <c r="AC62" s="2658"/>
    </row>
    <row r="63" spans="1:29" ht="14.4">
      <c r="A63" s="474" t="s">
        <v>1719</v>
      </c>
      <c r="B63" s="475" t="s">
        <v>1685</v>
      </c>
      <c r="C63" s="476">
        <f>C9</f>
        <v>0</v>
      </c>
      <c r="D63" s="477"/>
      <c r="E63" s="477"/>
      <c r="F63" s="477"/>
      <c r="G63" s="477"/>
      <c r="H63" s="477"/>
      <c r="I63" s="477"/>
      <c r="J63" s="477"/>
      <c r="K63" s="478"/>
      <c r="L63" s="479"/>
      <c r="M63" s="480"/>
      <c r="N63" s="2750"/>
      <c r="O63" s="2750"/>
      <c r="P63" s="2741"/>
      <c r="Q63" s="2736"/>
      <c r="R63" s="2722"/>
      <c r="S63" s="2722"/>
      <c r="T63" s="2722"/>
      <c r="U63" s="2722"/>
      <c r="V63" s="2722"/>
      <c r="W63" s="2722"/>
      <c r="X63" s="2722"/>
      <c r="Y63" s="2722"/>
      <c r="Z63" s="2722"/>
      <c r="AA63" s="2722"/>
      <c r="AB63" s="2722"/>
      <c r="AC63" s="2722"/>
    </row>
    <row r="64" spans="1:29" ht="14.4" thickBot="1">
      <c r="A64" s="481"/>
      <c r="B64" s="482"/>
      <c r="C64" s="483">
        <v>100</v>
      </c>
      <c r="D64" s="483"/>
      <c r="E64" s="483"/>
      <c r="F64" s="483"/>
      <c r="G64" s="483"/>
      <c r="H64" s="483"/>
      <c r="I64" s="483"/>
      <c r="J64" s="483"/>
      <c r="K64" s="483"/>
      <c r="L64" s="483"/>
      <c r="M64" s="484"/>
      <c r="N64" s="2751"/>
      <c r="O64" s="2751"/>
      <c r="P64" s="2741"/>
      <c r="Q64" s="2736"/>
      <c r="R64" s="2722"/>
      <c r="S64" s="2722"/>
      <c r="T64" s="2722"/>
      <c r="U64" s="2722"/>
      <c r="V64" s="2722"/>
      <c r="W64" s="2722"/>
      <c r="X64" s="2722"/>
      <c r="Y64" s="2722"/>
      <c r="Z64" s="2722"/>
      <c r="AA64" s="2722"/>
      <c r="AB64" s="2722"/>
      <c r="AC64" s="2722"/>
    </row>
    <row r="65" spans="1:29" ht="29.4" thickTop="1">
      <c r="A65" s="481"/>
      <c r="B65" s="485" t="s">
        <v>1688</v>
      </c>
      <c r="C65" s="530"/>
      <c r="D65" s="530"/>
      <c r="E65" s="530"/>
      <c r="F65" s="530"/>
      <c r="G65" s="530"/>
      <c r="H65" s="530"/>
      <c r="I65" s="530"/>
      <c r="J65" s="530"/>
      <c r="K65" s="531"/>
      <c r="L65" s="532"/>
      <c r="M65" s="533"/>
      <c r="N65" s="2750"/>
      <c r="O65" s="2750"/>
      <c r="P65" s="2741"/>
      <c r="Q65" s="2736"/>
      <c r="R65" s="2722"/>
      <c r="S65" s="2722"/>
      <c r="T65" s="2722"/>
      <c r="U65" s="2722"/>
      <c r="V65" s="2722"/>
      <c r="W65" s="2722"/>
      <c r="X65" s="2722"/>
      <c r="Y65" s="2722"/>
      <c r="Z65" s="2722"/>
      <c r="AA65" s="2722"/>
      <c r="AB65" s="2722"/>
      <c r="AC65" s="2722"/>
    </row>
    <row r="66" spans="1:29" ht="14.4" thickBot="1">
      <c r="A66" s="481"/>
      <c r="B66" s="490"/>
      <c r="C66" s="483"/>
      <c r="D66" s="483"/>
      <c r="E66" s="483"/>
      <c r="F66" s="483"/>
      <c r="G66" s="483"/>
      <c r="H66" s="483"/>
      <c r="I66" s="483"/>
      <c r="J66" s="483"/>
      <c r="K66" s="483"/>
      <c r="L66" s="483"/>
      <c r="M66" s="484"/>
      <c r="N66" s="2751"/>
      <c r="O66" s="2751"/>
      <c r="P66" s="2741"/>
      <c r="Q66" s="2736"/>
      <c r="R66" s="2722"/>
      <c r="S66" s="2722"/>
      <c r="T66" s="2722"/>
      <c r="U66" s="2722"/>
      <c r="V66" s="2722"/>
      <c r="W66" s="2722"/>
      <c r="X66" s="2722"/>
      <c r="Y66" s="2722"/>
      <c r="Z66" s="2722"/>
      <c r="AA66" s="2722"/>
      <c r="AB66" s="2722"/>
      <c r="AC66" s="2722"/>
    </row>
    <row r="67" spans="1:29" ht="15" thickTop="1">
      <c r="A67" s="481"/>
      <c r="B67" s="493" t="s">
        <v>1689</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751"/>
      <c r="O67" s="2751"/>
      <c r="P67" s="2741"/>
      <c r="Q67" s="2736"/>
      <c r="R67" s="2722"/>
      <c r="S67" s="2722"/>
      <c r="T67" s="2722"/>
      <c r="U67" s="2722"/>
      <c r="V67" s="2722"/>
      <c r="W67" s="2722"/>
      <c r="X67" s="2722"/>
      <c r="Y67" s="2722"/>
      <c r="Z67" s="2722"/>
      <c r="AA67" s="2722"/>
      <c r="AB67" s="2722"/>
      <c r="AC67" s="2722"/>
    </row>
    <row r="68" spans="1:29">
      <c r="A68" s="481"/>
      <c r="B68" s="495"/>
      <c r="C68" s="496"/>
      <c r="D68" s="496"/>
      <c r="E68" s="496"/>
      <c r="F68" s="496"/>
      <c r="G68" s="496"/>
      <c r="H68" s="496"/>
      <c r="I68" s="496"/>
      <c r="J68" s="496"/>
      <c r="K68" s="497"/>
      <c r="L68" s="498"/>
      <c r="M68" s="499"/>
      <c r="N68" s="2750"/>
      <c r="O68" s="2750"/>
      <c r="P68" s="2741"/>
      <c r="Q68" s="2736"/>
      <c r="R68" s="2722"/>
      <c r="S68" s="2722"/>
      <c r="T68" s="2722"/>
      <c r="U68" s="2722"/>
      <c r="V68" s="2722"/>
      <c r="W68" s="2722"/>
      <c r="X68" s="2722"/>
      <c r="Y68" s="2722"/>
      <c r="Z68" s="2722"/>
      <c r="AA68" s="2722"/>
      <c r="AB68" s="2722"/>
      <c r="AC68" s="2722"/>
    </row>
    <row r="69" spans="1:29" ht="14.4"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51"/>
      <c r="O69" s="2751"/>
      <c r="P69" s="2741"/>
      <c r="Q69" s="2736"/>
      <c r="R69" s="2722"/>
      <c r="S69" s="2722"/>
      <c r="T69" s="2722"/>
      <c r="U69" s="2722"/>
      <c r="V69" s="2722"/>
      <c r="W69" s="2722"/>
      <c r="X69" s="2722"/>
      <c r="Y69" s="2722"/>
      <c r="Z69" s="2722"/>
      <c r="AA69" s="2722"/>
      <c r="AB69" s="2722"/>
      <c r="AC69" s="2722"/>
    </row>
    <row r="70" spans="1:29" s="420" customFormat="1" ht="14.4" thickTop="1">
      <c r="A70" s="500"/>
      <c r="B70" s="485">
        <f>B12</f>
        <v>111</v>
      </c>
      <c r="C70" s="501"/>
      <c r="D70" s="501"/>
      <c r="E70" s="501"/>
      <c r="F70" s="501"/>
      <c r="G70" s="501"/>
      <c r="H70" s="502"/>
      <c r="I70" s="502"/>
      <c r="J70" s="502"/>
      <c r="K70" s="502"/>
      <c r="L70" s="503"/>
      <c r="M70" s="504"/>
      <c r="N70" s="2752"/>
      <c r="O70" s="2752"/>
      <c r="P70" s="2742"/>
      <c r="Q70" s="2743"/>
      <c r="R70" s="2744"/>
      <c r="S70" s="2744"/>
      <c r="T70" s="2744"/>
      <c r="U70" s="2744"/>
      <c r="V70" s="2744"/>
      <c r="W70" s="2744"/>
      <c r="X70" s="2744"/>
      <c r="Y70" s="2744"/>
      <c r="Z70" s="2744"/>
      <c r="AA70" s="2744"/>
      <c r="AB70" s="2744"/>
      <c r="AC70" s="2744"/>
    </row>
    <row r="71" spans="1:29" s="420" customFormat="1" ht="14.4" thickBot="1">
      <c r="A71" s="500"/>
      <c r="B71" s="490"/>
      <c r="C71" s="507"/>
      <c r="D71" s="483"/>
      <c r="E71" s="483"/>
      <c r="F71" s="483"/>
      <c r="G71" s="483"/>
      <c r="H71" s="483"/>
      <c r="I71" s="483"/>
      <c r="J71" s="483"/>
      <c r="K71" s="483"/>
      <c r="L71" s="483"/>
      <c r="M71" s="484"/>
      <c r="N71" s="2751"/>
      <c r="O71" s="2751"/>
      <c r="P71" s="2742"/>
      <c r="Q71" s="2743"/>
      <c r="R71" s="2744"/>
      <c r="S71" s="2744"/>
      <c r="T71" s="2744"/>
      <c r="U71" s="2744"/>
      <c r="V71" s="2744"/>
      <c r="W71" s="2744"/>
      <c r="X71" s="2744"/>
      <c r="Y71" s="2744"/>
      <c r="Z71" s="2744"/>
      <c r="AA71" s="2744"/>
      <c r="AB71" s="2744"/>
      <c r="AC71" s="2744"/>
    </row>
    <row r="72" spans="1:29" s="420" customFormat="1" ht="14.4" thickTop="1">
      <c r="A72" s="500"/>
      <c r="B72" s="485">
        <f>B13</f>
        <v>111</v>
      </c>
      <c r="C72" s="501"/>
      <c r="D72" s="501"/>
      <c r="E72" s="501"/>
      <c r="F72" s="501"/>
      <c r="G72" s="501"/>
      <c r="H72" s="502"/>
      <c r="I72" s="502"/>
      <c r="J72" s="502"/>
      <c r="K72" s="502"/>
      <c r="L72" s="503"/>
      <c r="M72" s="504"/>
      <c r="N72" s="2752"/>
      <c r="O72" s="2752"/>
      <c r="P72" s="2745"/>
      <c r="Q72" s="2746"/>
      <c r="R72" s="2744"/>
      <c r="S72" s="2744"/>
      <c r="T72" s="2744"/>
      <c r="U72" s="2744"/>
      <c r="V72" s="2744"/>
      <c r="W72" s="2744"/>
      <c r="X72" s="2744"/>
      <c r="Y72" s="2744"/>
      <c r="Z72" s="2744"/>
      <c r="AA72" s="2744"/>
      <c r="AB72" s="2744"/>
      <c r="AC72" s="2744"/>
    </row>
    <row r="73" spans="1:29" s="420" customFormat="1" ht="14.4" thickBot="1">
      <c r="A73" s="500"/>
      <c r="B73" s="490"/>
      <c r="C73" s="507"/>
      <c r="D73" s="483"/>
      <c r="E73" s="483"/>
      <c r="F73" s="483"/>
      <c r="G73" s="507"/>
      <c r="H73" s="509"/>
      <c r="I73" s="509"/>
      <c r="J73" s="509"/>
      <c r="K73" s="509"/>
      <c r="L73" s="509"/>
      <c r="M73" s="510"/>
      <c r="N73" s="2752"/>
      <c r="O73" s="2752"/>
      <c r="P73" s="2742"/>
      <c r="Q73" s="2743"/>
      <c r="R73" s="2744"/>
      <c r="S73" s="2744"/>
      <c r="T73" s="2744"/>
      <c r="U73" s="2744"/>
      <c r="V73" s="2744"/>
      <c r="W73" s="2744"/>
      <c r="X73" s="2744"/>
      <c r="Y73" s="2744"/>
      <c r="Z73" s="2744"/>
      <c r="AA73" s="2744"/>
      <c r="AB73" s="2744"/>
      <c r="AC73" s="2744"/>
    </row>
    <row r="74" spans="1:29" s="420" customFormat="1" ht="14.4" thickTop="1">
      <c r="A74" s="500"/>
      <c r="B74" s="493">
        <f>B14</f>
        <v>111</v>
      </c>
      <c r="C74" s="501"/>
      <c r="D74" s="501"/>
      <c r="E74" s="501"/>
      <c r="F74" s="501"/>
      <c r="G74" s="470"/>
      <c r="H74" s="511"/>
      <c r="I74" s="511"/>
      <c r="J74" s="511"/>
      <c r="K74" s="511"/>
      <c r="L74" s="512"/>
      <c r="M74" s="513"/>
      <c r="N74" s="2752"/>
      <c r="O74" s="2752"/>
      <c r="P74" s="2747"/>
      <c r="Q74" s="2743"/>
      <c r="R74" s="2744"/>
      <c r="S74" s="2744"/>
      <c r="T74" s="2744"/>
      <c r="U74" s="2744"/>
      <c r="V74" s="2744"/>
      <c r="W74" s="2744"/>
      <c r="X74" s="2744"/>
      <c r="Y74" s="2744"/>
      <c r="Z74" s="2744"/>
      <c r="AA74" s="2744"/>
      <c r="AB74" s="2744"/>
      <c r="AC74" s="2744"/>
    </row>
    <row r="75" spans="1:29" s="420" customFormat="1" ht="14.4" thickBot="1">
      <c r="A75" s="515"/>
      <c r="B75" s="516"/>
      <c r="C75" s="517"/>
      <c r="D75" s="517"/>
      <c r="E75" s="517"/>
      <c r="F75" s="517"/>
      <c r="G75" s="517"/>
      <c r="H75" s="518"/>
      <c r="I75" s="518"/>
      <c r="J75" s="518"/>
      <c r="K75" s="518"/>
      <c r="L75" s="518"/>
      <c r="M75" s="519"/>
      <c r="N75" s="2752"/>
      <c r="O75" s="2752"/>
      <c r="P75" s="2742"/>
      <c r="Q75" s="2743"/>
      <c r="R75" s="2744"/>
      <c r="S75" s="2744"/>
      <c r="T75" s="2744"/>
      <c r="U75" s="2744"/>
      <c r="V75" s="2744"/>
      <c r="W75" s="2744"/>
      <c r="X75" s="2744"/>
      <c r="Y75" s="2744"/>
      <c r="Z75" s="2744"/>
      <c r="AA75" s="2744"/>
      <c r="AB75" s="2744"/>
      <c r="AC75" s="2744"/>
    </row>
    <row r="76" spans="1:29" ht="14.4">
      <c r="A76" s="474" t="s">
        <v>1690</v>
      </c>
      <c r="B76" s="475" t="s">
        <v>1720</v>
      </c>
      <c r="C76" s="520" t="s">
        <v>1721</v>
      </c>
      <c r="D76" s="520" t="s">
        <v>1722</v>
      </c>
      <c r="E76" s="520" t="s">
        <v>1723</v>
      </c>
      <c r="F76" s="520" t="s">
        <v>1724</v>
      </c>
      <c r="G76" s="520" t="s">
        <v>1725</v>
      </c>
      <c r="H76" s="476"/>
      <c r="I76" s="476"/>
      <c r="J76" s="476"/>
      <c r="K76" s="521"/>
      <c r="L76" s="522"/>
      <c r="M76" s="523"/>
      <c r="N76" s="2750"/>
      <c r="O76" s="2750"/>
      <c r="P76" s="2748"/>
      <c r="Q76" s="2736"/>
      <c r="R76" s="2722"/>
      <c r="S76" s="2722"/>
      <c r="T76" s="2722"/>
      <c r="U76" s="2722"/>
      <c r="V76" s="2722"/>
      <c r="W76" s="2722"/>
      <c r="X76" s="2722"/>
      <c r="Y76" s="2722"/>
      <c r="Z76" s="2722"/>
      <c r="AA76" s="2722"/>
      <c r="AB76" s="2722"/>
      <c r="AC76" s="2722"/>
    </row>
    <row r="77" spans="1:29" ht="14.4" thickBot="1">
      <c r="A77" s="481"/>
      <c r="B77" s="490"/>
      <c r="C77" s="491">
        <v>100</v>
      </c>
      <c r="D77" s="491">
        <f>C77-$K15</f>
        <v>100</v>
      </c>
      <c r="E77" s="491">
        <f>D77-$K15</f>
        <v>100</v>
      </c>
      <c r="F77" s="491">
        <f>E77-$K15</f>
        <v>100</v>
      </c>
      <c r="G77" s="491">
        <f>F77-$K15</f>
        <v>100</v>
      </c>
      <c r="H77" s="491"/>
      <c r="I77" s="491"/>
      <c r="J77" s="491"/>
      <c r="K77" s="491"/>
      <c r="L77" s="491"/>
      <c r="M77" s="492"/>
      <c r="N77" s="2751"/>
      <c r="O77" s="2751"/>
      <c r="P77" s="2741"/>
      <c r="Q77" s="2736"/>
      <c r="R77" s="2722"/>
      <c r="S77" s="2722"/>
      <c r="T77" s="2722"/>
      <c r="U77" s="2722"/>
      <c r="V77" s="2722"/>
      <c r="W77" s="2722"/>
      <c r="X77" s="2722"/>
      <c r="Y77" s="2722"/>
      <c r="Z77" s="2722"/>
      <c r="AA77" s="2722"/>
      <c r="AB77" s="2722"/>
      <c r="AC77" s="2722"/>
    </row>
    <row r="78" spans="1:29" ht="15" thickTop="1">
      <c r="A78" s="481"/>
      <c r="B78" s="485" t="s">
        <v>1726</v>
      </c>
      <c r="C78" s="525" t="s">
        <v>1721</v>
      </c>
      <c r="D78" s="525" t="s">
        <v>1722</v>
      </c>
      <c r="E78" s="525" t="s">
        <v>1723</v>
      </c>
      <c r="F78" s="525" t="s">
        <v>1724</v>
      </c>
      <c r="G78" s="525" t="s">
        <v>1725</v>
      </c>
      <c r="H78" s="486"/>
      <c r="I78" s="486"/>
      <c r="J78" s="486"/>
      <c r="K78" s="487"/>
      <c r="L78" s="488"/>
      <c r="M78" s="489"/>
      <c r="N78" s="2750"/>
      <c r="O78" s="2750"/>
      <c r="P78" s="2741"/>
      <c r="Q78" s="2736"/>
      <c r="R78" s="2722"/>
      <c r="S78" s="2722"/>
      <c r="T78" s="2722"/>
      <c r="U78" s="2722"/>
      <c r="V78" s="2722"/>
      <c r="W78" s="2722"/>
      <c r="X78" s="2722"/>
      <c r="Y78" s="2722"/>
      <c r="Z78" s="2722"/>
      <c r="AA78" s="2722"/>
      <c r="AB78" s="2722"/>
      <c r="AC78" s="2722"/>
    </row>
    <row r="79" spans="1:29" ht="14.4" thickBot="1">
      <c r="A79" s="481"/>
      <c r="B79" s="490"/>
      <c r="C79" s="491">
        <v>100</v>
      </c>
      <c r="D79" s="491">
        <f>C79-$K17</f>
        <v>100</v>
      </c>
      <c r="E79" s="491">
        <f>D79-$K17</f>
        <v>100</v>
      </c>
      <c r="F79" s="491">
        <f>E79-$K17</f>
        <v>100</v>
      </c>
      <c r="G79" s="491">
        <f>F79-$K17</f>
        <v>100</v>
      </c>
      <c r="H79" s="491"/>
      <c r="I79" s="491"/>
      <c r="J79" s="491"/>
      <c r="K79" s="491"/>
      <c r="L79" s="491"/>
      <c r="M79" s="492"/>
      <c r="N79" s="2751"/>
      <c r="O79" s="2751"/>
      <c r="P79" s="2741"/>
      <c r="Q79" s="2736"/>
      <c r="R79" s="2722"/>
      <c r="S79" s="2722"/>
      <c r="T79" s="2722"/>
      <c r="U79" s="2722"/>
      <c r="V79" s="2722"/>
      <c r="W79" s="2722"/>
      <c r="X79" s="2722"/>
      <c r="Y79" s="2722"/>
      <c r="Z79" s="2722"/>
      <c r="AA79" s="2722"/>
      <c r="AB79" s="2722"/>
      <c r="AC79" s="2722"/>
    </row>
    <row r="80" spans="1:29" ht="15" thickTop="1">
      <c r="A80" s="481"/>
      <c r="B80" s="485" t="s">
        <v>1727</v>
      </c>
      <c r="C80" s="525" t="s">
        <v>1721</v>
      </c>
      <c r="D80" s="525" t="s">
        <v>1722</v>
      </c>
      <c r="E80" s="525" t="s">
        <v>1723</v>
      </c>
      <c r="F80" s="525" t="s">
        <v>1724</v>
      </c>
      <c r="G80" s="525" t="s">
        <v>1725</v>
      </c>
      <c r="H80" s="486"/>
      <c r="I80" s="486"/>
      <c r="J80" s="486"/>
      <c r="K80" s="487"/>
      <c r="L80" s="488"/>
      <c r="M80" s="489"/>
      <c r="N80" s="2750"/>
      <c r="O80" s="2750"/>
      <c r="P80" s="2741"/>
      <c r="Q80" s="2736"/>
      <c r="R80" s="2722"/>
      <c r="S80" s="2722"/>
      <c r="T80" s="2722"/>
      <c r="U80" s="2722"/>
      <c r="V80" s="2722"/>
      <c r="W80" s="2722"/>
      <c r="X80" s="2722"/>
      <c r="Y80" s="2722"/>
      <c r="Z80" s="2722"/>
      <c r="AA80" s="2722"/>
      <c r="AB80" s="2722"/>
      <c r="AC80" s="2722"/>
    </row>
    <row r="81" spans="1:29" ht="14.4" thickBot="1">
      <c r="A81" s="481"/>
      <c r="B81" s="490"/>
      <c r="C81" s="491">
        <v>100</v>
      </c>
      <c r="D81" s="491">
        <f>C81-$K19</f>
        <v>100</v>
      </c>
      <c r="E81" s="491">
        <f>D81-$K19</f>
        <v>100</v>
      </c>
      <c r="F81" s="491">
        <f>E81-$K19</f>
        <v>100</v>
      </c>
      <c r="G81" s="491">
        <f>F81-$K19</f>
        <v>100</v>
      </c>
      <c r="H81" s="491"/>
      <c r="I81" s="491"/>
      <c r="J81" s="491"/>
      <c r="K81" s="491"/>
      <c r="L81" s="491"/>
      <c r="M81" s="492"/>
      <c r="N81" s="2751"/>
      <c r="O81" s="2751"/>
      <c r="P81" s="2741"/>
      <c r="Q81" s="2736"/>
      <c r="R81" s="2722"/>
      <c r="S81" s="2722"/>
      <c r="T81" s="2722"/>
      <c r="U81" s="2722"/>
      <c r="V81" s="2722"/>
      <c r="W81" s="2722"/>
      <c r="X81" s="2722"/>
      <c r="Y81" s="2722"/>
      <c r="Z81" s="2722"/>
      <c r="AA81" s="2722"/>
      <c r="AB81" s="2722"/>
      <c r="AC81" s="2722"/>
    </row>
    <row r="82" spans="1:29" ht="15" thickTop="1">
      <c r="A82" s="481"/>
      <c r="B82" s="493" t="s">
        <v>1779</v>
      </c>
      <c r="C82" s="606" t="s">
        <v>1799</v>
      </c>
      <c r="D82" s="606" t="s">
        <v>1800</v>
      </c>
      <c r="E82" s="606" t="s">
        <v>1801</v>
      </c>
      <c r="F82" s="606" t="s">
        <v>1802</v>
      </c>
      <c r="G82" s="606" t="s">
        <v>1803</v>
      </c>
      <c r="H82" s="486"/>
      <c r="I82" s="486"/>
      <c r="J82" s="486"/>
      <c r="K82" s="486"/>
      <c r="L82" s="486"/>
      <c r="M82" s="1126"/>
      <c r="N82" s="2751"/>
      <c r="O82" s="2751"/>
      <c r="P82" s="2741"/>
      <c r="Q82" s="2736"/>
      <c r="R82" s="2722"/>
      <c r="S82" s="2722"/>
      <c r="T82" s="2722"/>
      <c r="U82" s="2722"/>
      <c r="V82" s="2722"/>
      <c r="W82" s="2722"/>
      <c r="X82" s="2722"/>
      <c r="Y82" s="2722"/>
      <c r="Z82" s="2722"/>
      <c r="AA82" s="2722"/>
      <c r="AB82" s="2722"/>
      <c r="AC82" s="2722"/>
    </row>
    <row r="83" spans="1:29" ht="14.4"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751"/>
      <c r="O83" s="2751"/>
      <c r="P83" s="2741"/>
      <c r="Q83" s="2736"/>
      <c r="R83" s="2722"/>
      <c r="S83" s="2722"/>
      <c r="T83" s="2722"/>
      <c r="U83" s="2722"/>
      <c r="V83" s="2722"/>
      <c r="W83" s="2722"/>
      <c r="X83" s="2722"/>
      <c r="Y83" s="2722"/>
      <c r="Z83" s="2722"/>
      <c r="AA83" s="2722"/>
      <c r="AB83" s="2722"/>
      <c r="AC83" s="2722"/>
    </row>
    <row r="84" spans="1:29" ht="15" thickTop="1">
      <c r="A84" s="481"/>
      <c r="B84" s="485" t="s">
        <v>1733</v>
      </c>
      <c r="C84" s="525" t="s">
        <v>1721</v>
      </c>
      <c r="D84" s="525" t="s">
        <v>1722</v>
      </c>
      <c r="E84" s="525" t="s">
        <v>1723</v>
      </c>
      <c r="F84" s="525" t="s">
        <v>1724</v>
      </c>
      <c r="G84" s="525" t="s">
        <v>1725</v>
      </c>
      <c r="H84" s="486"/>
      <c r="I84" s="486"/>
      <c r="J84" s="486"/>
      <c r="K84" s="487"/>
      <c r="L84" s="488"/>
      <c r="M84" s="489"/>
      <c r="N84" s="2750"/>
      <c r="O84" s="2750"/>
      <c r="P84" s="2741"/>
      <c r="Q84" s="2736"/>
      <c r="R84" s="2722"/>
      <c r="S84" s="2722"/>
      <c r="T84" s="2722"/>
      <c r="U84" s="2722"/>
      <c r="V84" s="2722"/>
      <c r="W84" s="2722"/>
      <c r="X84" s="2722"/>
      <c r="Y84" s="2722"/>
      <c r="Z84" s="2722"/>
      <c r="AA84" s="2722"/>
      <c r="AB84" s="2722"/>
      <c r="AC84" s="2722"/>
    </row>
    <row r="85" spans="1:29" ht="14.4" thickBot="1">
      <c r="A85" s="481"/>
      <c r="B85" s="490"/>
      <c r="C85" s="491">
        <v>100</v>
      </c>
      <c r="D85" s="491">
        <f>C85-$K23</f>
        <v>100</v>
      </c>
      <c r="E85" s="491">
        <f>D85-$K23</f>
        <v>100</v>
      </c>
      <c r="F85" s="491">
        <f>E85-$K23</f>
        <v>100</v>
      </c>
      <c r="G85" s="491">
        <f>F85-$K23</f>
        <v>100</v>
      </c>
      <c r="H85" s="491"/>
      <c r="I85" s="491"/>
      <c r="J85" s="491"/>
      <c r="K85" s="491"/>
      <c r="L85" s="491"/>
      <c r="M85" s="492"/>
      <c r="N85" s="2751"/>
      <c r="O85" s="2751"/>
      <c r="P85" s="2741"/>
      <c r="Q85" s="2736"/>
      <c r="R85" s="2722"/>
      <c r="S85" s="2722"/>
      <c r="T85" s="2722"/>
      <c r="U85" s="2722"/>
      <c r="V85" s="2722"/>
      <c r="W85" s="2722"/>
      <c r="X85" s="2722"/>
      <c r="Y85" s="2722"/>
      <c r="Z85" s="2722"/>
      <c r="AA85" s="2722"/>
      <c r="AB85" s="2722"/>
      <c r="AC85" s="2722"/>
    </row>
    <row r="86" spans="1:29" s="107" customFormat="1" ht="15" thickTop="1">
      <c r="A86" s="526"/>
      <c r="B86" s="485" t="s">
        <v>1804</v>
      </c>
      <c r="C86" s="501"/>
      <c r="D86" s="501"/>
      <c r="E86" s="501"/>
      <c r="F86" s="501"/>
      <c r="G86" s="501"/>
      <c r="H86" s="501"/>
      <c r="I86" s="501"/>
      <c r="J86" s="501"/>
      <c r="K86" s="501"/>
      <c r="L86" s="527"/>
      <c r="M86" s="528"/>
      <c r="N86" s="2749"/>
      <c r="O86" s="2749"/>
      <c r="P86" s="2741"/>
      <c r="Q86" s="2736"/>
      <c r="R86" s="2658"/>
      <c r="S86" s="2658"/>
      <c r="T86" s="2658"/>
      <c r="U86" s="2658"/>
      <c r="V86" s="2658"/>
      <c r="W86" s="2658"/>
      <c r="X86" s="2658"/>
      <c r="Y86" s="2658"/>
      <c r="Z86" s="2658"/>
      <c r="AA86" s="2658"/>
      <c r="AB86" s="2658"/>
      <c r="AC86" s="2658"/>
    </row>
    <row r="87" spans="1:29" s="107" customFormat="1" ht="14.4"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51"/>
      <c r="O87" s="2751"/>
      <c r="P87" s="2741"/>
      <c r="Q87" s="2736"/>
      <c r="R87" s="2658"/>
      <c r="S87" s="2658"/>
      <c r="T87" s="2658"/>
      <c r="U87" s="2658"/>
      <c r="V87" s="2658"/>
      <c r="W87" s="2658"/>
      <c r="X87" s="2658"/>
      <c r="Y87" s="2658"/>
      <c r="Z87" s="2658"/>
      <c r="AA87" s="2658"/>
      <c r="AB87" s="2658"/>
      <c r="AC87" s="2658"/>
    </row>
    <row r="88" spans="1:29" s="107" customFormat="1" ht="14.4" thickTop="1">
      <c r="A88" s="526"/>
      <c r="B88" s="485" t="str">
        <f>B26</f>
        <v>平面位置/可视性</v>
      </c>
      <c r="C88" s="501"/>
      <c r="D88" s="501"/>
      <c r="E88" s="501"/>
      <c r="F88" s="1924"/>
      <c r="G88" s="501"/>
      <c r="H88" s="501"/>
      <c r="I88" s="501"/>
      <c r="J88" s="501"/>
      <c r="K88" s="501"/>
      <c r="L88" s="501"/>
      <c r="M88" s="528"/>
      <c r="N88" s="2749"/>
      <c r="O88" s="2749"/>
      <c r="P88" s="2741"/>
      <c r="Q88" s="2736"/>
      <c r="R88" s="2658"/>
      <c r="S88" s="2658"/>
      <c r="T88" s="2658"/>
      <c r="U88" s="2658"/>
      <c r="V88" s="2658"/>
      <c r="W88" s="2658"/>
      <c r="X88" s="2658"/>
      <c r="Y88" s="2658"/>
      <c r="Z88" s="2658"/>
      <c r="AA88" s="2658"/>
      <c r="AB88" s="2658"/>
      <c r="AC88" s="2658"/>
    </row>
    <row r="89" spans="1:29" s="107" customFormat="1" ht="14.4" thickBot="1">
      <c r="A89" s="526"/>
      <c r="B89" s="490"/>
      <c r="C89" s="507"/>
      <c r="D89" s="483"/>
      <c r="E89" s="483"/>
      <c r="F89" s="483"/>
      <c r="G89" s="483"/>
      <c r="H89" s="483"/>
      <c r="I89" s="483"/>
      <c r="J89" s="483"/>
      <c r="K89" s="483"/>
      <c r="L89" s="483"/>
      <c r="M89" s="483"/>
      <c r="N89" s="2751"/>
      <c r="O89" s="2751"/>
      <c r="P89" s="2741"/>
      <c r="Q89" s="2736"/>
      <c r="R89" s="2658"/>
      <c r="S89" s="2658"/>
      <c r="T89" s="2658"/>
      <c r="U89" s="2658"/>
      <c r="V89" s="2658"/>
      <c r="W89" s="2658"/>
      <c r="X89" s="2658"/>
      <c r="Y89" s="2658"/>
      <c r="Z89" s="2658"/>
      <c r="AA89" s="2658"/>
      <c r="AB89" s="2658"/>
      <c r="AC89" s="2658"/>
    </row>
    <row r="90" spans="1:29" s="420" customFormat="1" ht="14.4" thickTop="1">
      <c r="A90" s="500"/>
      <c r="B90" s="485" t="str">
        <f>B27</f>
        <v>人流量</v>
      </c>
      <c r="C90" s="501"/>
      <c r="D90" s="501"/>
      <c r="E90" s="501"/>
      <c r="F90" s="501"/>
      <c r="G90" s="501"/>
      <c r="H90" s="502"/>
      <c r="I90" s="502"/>
      <c r="J90" s="502"/>
      <c r="K90" s="502"/>
      <c r="L90" s="503"/>
      <c r="M90" s="504"/>
      <c r="N90" s="2752"/>
      <c r="O90" s="2752"/>
      <c r="P90" s="2742"/>
      <c r="Q90" s="2743"/>
      <c r="R90" s="2744"/>
      <c r="S90" s="2744"/>
      <c r="T90" s="2744"/>
      <c r="U90" s="2744"/>
      <c r="V90" s="2744"/>
      <c r="W90" s="2744"/>
      <c r="X90" s="2744"/>
      <c r="Y90" s="2744"/>
      <c r="Z90" s="2744"/>
      <c r="AA90" s="2744"/>
      <c r="AB90" s="2744"/>
      <c r="AC90" s="2744"/>
    </row>
    <row r="91" spans="1:29" s="420" customFormat="1" ht="14.4"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52"/>
      <c r="O91" s="2752"/>
      <c r="P91" s="2742"/>
      <c r="Q91" s="2743"/>
      <c r="R91" s="2744"/>
      <c r="S91" s="2744"/>
      <c r="T91" s="2744"/>
      <c r="U91" s="2744"/>
      <c r="V91" s="2744"/>
      <c r="W91" s="2744"/>
      <c r="X91" s="2744"/>
      <c r="Y91" s="2744"/>
      <c r="Z91" s="2744"/>
      <c r="AA91" s="2744"/>
      <c r="AB91" s="2744"/>
      <c r="AC91" s="2744"/>
    </row>
    <row r="92" spans="1:29" ht="14.4" thickTop="1">
      <c r="A92" s="481"/>
      <c r="B92" s="485" t="str">
        <f>B28</f>
        <v>楼层</v>
      </c>
      <c r="C92" s="501"/>
      <c r="D92" s="501"/>
      <c r="E92" s="501"/>
      <c r="F92" s="501"/>
      <c r="G92" s="501"/>
      <c r="H92" s="501"/>
      <c r="I92" s="501"/>
      <c r="J92" s="501"/>
      <c r="K92" s="501"/>
      <c r="L92" s="527"/>
      <c r="M92" s="528"/>
      <c r="N92" s="2750"/>
      <c r="O92" s="2750"/>
      <c r="P92" s="2741"/>
      <c r="Q92" s="2736"/>
      <c r="R92" s="2722"/>
      <c r="S92" s="2722"/>
      <c r="T92" s="2722"/>
      <c r="U92" s="2722"/>
      <c r="V92" s="2722"/>
      <c r="W92" s="2722"/>
      <c r="X92" s="2722"/>
      <c r="Y92" s="2722"/>
      <c r="Z92" s="2722"/>
      <c r="AA92" s="2722"/>
      <c r="AB92" s="2722"/>
      <c r="AC92" s="2722"/>
    </row>
    <row r="93" spans="1:29" ht="14.4" thickBot="1">
      <c r="A93" s="481"/>
      <c r="B93" s="490"/>
      <c r="C93" s="483"/>
      <c r="D93" s="483"/>
      <c r="E93" s="483"/>
      <c r="F93" s="483"/>
      <c r="G93" s="483"/>
      <c r="H93" s="483"/>
      <c r="I93" s="483"/>
      <c r="J93" s="483"/>
      <c r="K93" s="483"/>
      <c r="L93" s="483"/>
      <c r="M93" s="484"/>
      <c r="N93" s="2751"/>
      <c r="O93" s="2751"/>
      <c r="P93" s="2741"/>
      <c r="Q93" s="2736"/>
      <c r="R93" s="2722"/>
      <c r="S93" s="2722"/>
      <c r="T93" s="2722"/>
      <c r="U93" s="2722"/>
      <c r="V93" s="2722"/>
      <c r="W93" s="2722"/>
      <c r="X93" s="2722"/>
      <c r="Y93" s="2722"/>
      <c r="Z93" s="2722"/>
      <c r="AA93" s="2722"/>
      <c r="AB93" s="2722"/>
      <c r="AC93" s="2722"/>
    </row>
    <row r="94" spans="1:29" ht="14.4" thickTop="1">
      <c r="A94" s="481"/>
      <c r="B94" s="485">
        <f>B29</f>
        <v>111</v>
      </c>
      <c r="C94" s="501"/>
      <c r="D94" s="501"/>
      <c r="E94" s="501"/>
      <c r="F94" s="501"/>
      <c r="G94" s="530"/>
      <c r="H94" s="530"/>
      <c r="I94" s="530"/>
      <c r="J94" s="530"/>
      <c r="K94" s="531"/>
      <c r="L94" s="532"/>
      <c r="M94" s="533"/>
      <c r="N94" s="2750"/>
      <c r="O94" s="2750"/>
      <c r="P94" s="2741"/>
      <c r="Q94" s="2736"/>
      <c r="R94" s="2722"/>
      <c r="S94" s="2722"/>
      <c r="T94" s="2722"/>
      <c r="U94" s="2722"/>
      <c r="V94" s="2722"/>
      <c r="W94" s="2722"/>
      <c r="X94" s="2722"/>
      <c r="Y94" s="2722"/>
      <c r="Z94" s="2722"/>
      <c r="AA94" s="2722"/>
      <c r="AB94" s="2722"/>
      <c r="AC94" s="2722"/>
    </row>
    <row r="95" spans="1:29" ht="14.4" thickBot="1">
      <c r="A95" s="481"/>
      <c r="B95" s="490"/>
      <c r="C95" s="507"/>
      <c r="D95" s="483"/>
      <c r="E95" s="483"/>
      <c r="F95" s="483"/>
      <c r="G95" s="483"/>
      <c r="H95" s="483"/>
      <c r="I95" s="483"/>
      <c r="J95" s="483"/>
      <c r="K95" s="483"/>
      <c r="L95" s="483"/>
      <c r="M95" s="484"/>
      <c r="N95" s="2751"/>
      <c r="O95" s="2751"/>
      <c r="P95" s="2741"/>
      <c r="Q95" s="2736"/>
      <c r="R95" s="2722"/>
      <c r="S95" s="2722"/>
      <c r="T95" s="2722"/>
      <c r="U95" s="2722"/>
      <c r="V95" s="2722"/>
      <c r="W95" s="2722"/>
      <c r="X95" s="2722"/>
      <c r="Y95" s="2722"/>
      <c r="Z95" s="2722"/>
      <c r="AA95" s="2722"/>
      <c r="AB95" s="2722"/>
      <c r="AC95" s="2722"/>
    </row>
    <row r="96" spans="1:29" ht="14.4" thickTop="1">
      <c r="A96" s="481"/>
      <c r="B96" s="485">
        <f>B30</f>
        <v>111</v>
      </c>
      <c r="C96" s="501"/>
      <c r="D96" s="501"/>
      <c r="E96" s="501"/>
      <c r="F96" s="501"/>
      <c r="G96" s="530"/>
      <c r="H96" s="530"/>
      <c r="I96" s="530"/>
      <c r="J96" s="530"/>
      <c r="K96" s="531"/>
      <c r="L96" s="532"/>
      <c r="M96" s="533"/>
      <c r="N96" s="2750"/>
      <c r="O96" s="2750"/>
      <c r="P96" s="2741"/>
      <c r="Q96" s="2736"/>
      <c r="R96" s="2722"/>
      <c r="S96" s="2722"/>
      <c r="T96" s="2722"/>
      <c r="U96" s="2722"/>
      <c r="V96" s="2722"/>
      <c r="W96" s="2722"/>
      <c r="X96" s="2722"/>
      <c r="Y96" s="2722"/>
      <c r="Z96" s="2722"/>
      <c r="AA96" s="2722"/>
      <c r="AB96" s="2722"/>
      <c r="AC96" s="2722"/>
    </row>
    <row r="97" spans="1:29" ht="14.4" thickBot="1">
      <c r="A97" s="481"/>
      <c r="B97" s="490"/>
      <c r="C97" s="507"/>
      <c r="D97" s="483"/>
      <c r="E97" s="483"/>
      <c r="F97" s="483"/>
      <c r="G97" s="483"/>
      <c r="H97" s="483"/>
      <c r="I97" s="483"/>
      <c r="J97" s="483"/>
      <c r="K97" s="483"/>
      <c r="L97" s="483"/>
      <c r="M97" s="484"/>
      <c r="N97" s="2751"/>
      <c r="O97" s="2751"/>
      <c r="P97" s="2741"/>
      <c r="Q97" s="2736"/>
      <c r="R97" s="2722"/>
      <c r="S97" s="2722"/>
      <c r="T97" s="2722"/>
      <c r="U97" s="2722"/>
      <c r="V97" s="2722"/>
      <c r="W97" s="2722"/>
      <c r="X97" s="2722"/>
      <c r="Y97" s="2722"/>
      <c r="Z97" s="2722"/>
      <c r="AA97" s="2722"/>
      <c r="AB97" s="2722"/>
      <c r="AC97" s="2722"/>
    </row>
    <row r="98" spans="1:29" ht="14.4" thickTop="1">
      <c r="A98" s="481"/>
      <c r="B98" s="493">
        <f>B31</f>
        <v>111</v>
      </c>
      <c r="C98" s="501"/>
      <c r="D98" s="501"/>
      <c r="E98" s="501"/>
      <c r="F98" s="501"/>
      <c r="G98" s="534"/>
      <c r="H98" s="534"/>
      <c r="I98" s="534"/>
      <c r="J98" s="534"/>
      <c r="K98" s="535"/>
      <c r="L98" s="536"/>
      <c r="M98" s="537"/>
      <c r="N98" s="2750"/>
      <c r="O98" s="2750"/>
      <c r="P98" s="2741"/>
      <c r="Q98" s="2736"/>
      <c r="R98" s="2722"/>
      <c r="S98" s="2722"/>
      <c r="T98" s="2722"/>
      <c r="U98" s="2722"/>
      <c r="V98" s="2722"/>
      <c r="W98" s="2722"/>
      <c r="X98" s="2722"/>
      <c r="Y98" s="2722"/>
      <c r="Z98" s="2722"/>
      <c r="AA98" s="2722"/>
      <c r="AB98" s="2722"/>
      <c r="AC98" s="2722"/>
    </row>
    <row r="99" spans="1:29" ht="14.4" thickBot="1">
      <c r="A99" s="1925"/>
      <c r="B99" s="516"/>
      <c r="C99" s="517"/>
      <c r="D99" s="517"/>
      <c r="E99" s="517"/>
      <c r="F99" s="517"/>
      <c r="G99" s="538"/>
      <c r="H99" s="538"/>
      <c r="I99" s="538"/>
      <c r="J99" s="538"/>
      <c r="K99" s="538"/>
      <c r="L99" s="538"/>
      <c r="M99" s="539"/>
      <c r="N99" s="2751"/>
      <c r="O99" s="2751"/>
      <c r="P99" s="2741"/>
      <c r="Q99" s="2736"/>
      <c r="R99" s="2722"/>
      <c r="S99" s="2722"/>
      <c r="T99" s="2722"/>
      <c r="U99" s="2722"/>
      <c r="V99" s="2722"/>
      <c r="W99" s="2722"/>
      <c r="X99" s="2722"/>
      <c r="Y99" s="2722"/>
      <c r="Z99" s="2722"/>
      <c r="AA99" s="2722"/>
      <c r="AB99" s="2722"/>
      <c r="AC99" s="2722"/>
    </row>
    <row r="100" spans="1:29" ht="14.4">
      <c r="A100" s="474" t="s">
        <v>1694</v>
      </c>
      <c r="B100" s="475" t="s">
        <v>1805</v>
      </c>
      <c r="C100" s="477"/>
      <c r="D100" s="477"/>
      <c r="E100" s="477"/>
      <c r="F100" s="477"/>
      <c r="G100" s="477"/>
      <c r="H100" s="477"/>
      <c r="I100" s="477"/>
      <c r="J100" s="477"/>
      <c r="K100" s="478"/>
      <c r="L100" s="479"/>
      <c r="M100" s="480"/>
      <c r="N100" s="2750"/>
      <c r="O100" s="2750"/>
      <c r="P100" s="2741"/>
      <c r="Q100" s="2736"/>
      <c r="R100" s="2722"/>
      <c r="S100" s="2722"/>
      <c r="T100" s="2722"/>
      <c r="U100" s="2722"/>
      <c r="V100" s="2722"/>
      <c r="W100" s="2722"/>
      <c r="X100" s="2722"/>
      <c r="Y100" s="2722"/>
      <c r="Z100" s="2722"/>
      <c r="AA100" s="2722"/>
      <c r="AB100" s="2722"/>
      <c r="AC100" s="2722"/>
    </row>
    <row r="101" spans="1:29" ht="14.4"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51"/>
      <c r="O101" s="2751"/>
      <c r="P101" s="2741"/>
      <c r="Q101" s="2736"/>
      <c r="R101" s="2722"/>
      <c r="S101" s="2722"/>
      <c r="T101" s="2722"/>
      <c r="U101" s="2722"/>
      <c r="V101" s="2722"/>
      <c r="W101" s="2722"/>
      <c r="X101" s="2722"/>
      <c r="Y101" s="2722"/>
      <c r="Z101" s="2722"/>
      <c r="AA101" s="2722"/>
      <c r="AB101" s="2722"/>
      <c r="AC101" s="2722"/>
    </row>
    <row r="102" spans="1:29" ht="15" thickTop="1">
      <c r="A102" s="481"/>
      <c r="B102" s="485" t="s">
        <v>1737</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0" customFormat="1">
      <c r="A103" s="540"/>
      <c r="B103" s="541"/>
      <c r="C103" s="542"/>
      <c r="D103" s="542"/>
      <c r="E103" s="542"/>
      <c r="F103" s="542"/>
      <c r="G103" s="542"/>
      <c r="H103" s="542"/>
      <c r="I103" s="542"/>
      <c r="J103" s="543"/>
      <c r="K103" s="543"/>
      <c r="L103" s="544"/>
      <c r="M103" s="545"/>
      <c r="N103" s="2752"/>
      <c r="O103" s="2752"/>
      <c r="P103" s="2742"/>
      <c r="Q103" s="2743"/>
      <c r="R103" s="2744"/>
      <c r="S103" s="2744"/>
      <c r="T103" s="2744"/>
      <c r="U103" s="2744"/>
      <c r="V103" s="2744"/>
      <c r="W103" s="2744"/>
      <c r="X103" s="2744"/>
      <c r="Y103" s="2744"/>
      <c r="Z103" s="2744"/>
      <c r="AA103" s="2744"/>
      <c r="AB103" s="2744"/>
      <c r="AC103" s="2744"/>
    </row>
    <row r="104" spans="1:29" s="420" customFormat="1" ht="14.4" thickBot="1">
      <c r="A104" s="500"/>
      <c r="B104" s="490"/>
      <c r="C104" s="507"/>
      <c r="D104" s="483"/>
      <c r="E104" s="483"/>
      <c r="F104" s="483"/>
      <c r="G104" s="483"/>
      <c r="H104" s="483"/>
      <c r="I104" s="483"/>
      <c r="J104" s="483"/>
      <c r="K104" s="483"/>
      <c r="L104" s="483"/>
      <c r="M104" s="484"/>
      <c r="N104" s="2751"/>
      <c r="O104" s="2751"/>
      <c r="P104" s="2742"/>
      <c r="Q104" s="2743"/>
      <c r="R104" s="2744"/>
      <c r="S104" s="2744"/>
      <c r="T104" s="2744"/>
      <c r="U104" s="2744"/>
      <c r="V104" s="2744"/>
      <c r="W104" s="2744"/>
      <c r="X104" s="2744"/>
      <c r="Y104" s="2744"/>
      <c r="Z104" s="2744"/>
      <c r="AA104" s="2744"/>
      <c r="AB104" s="2744"/>
      <c r="AC104" s="2744"/>
    </row>
    <row r="105" spans="1:29" ht="15" thickTop="1">
      <c r="A105" s="546"/>
      <c r="B105" s="485" t="s">
        <v>1738</v>
      </c>
      <c r="C105" s="501"/>
      <c r="D105" s="501"/>
      <c r="E105" s="530"/>
      <c r="F105" s="530"/>
      <c r="G105" s="530"/>
      <c r="H105" s="530"/>
      <c r="I105" s="530"/>
      <c r="J105" s="530"/>
      <c r="K105" s="531"/>
      <c r="L105" s="532"/>
      <c r="M105" s="533"/>
      <c r="N105" s="2750"/>
      <c r="O105" s="2750"/>
      <c r="P105" s="2741"/>
      <c r="Q105" s="2736"/>
      <c r="R105" s="2722"/>
      <c r="S105" s="2722"/>
      <c r="T105" s="2722"/>
      <c r="U105" s="2722"/>
      <c r="V105" s="2722"/>
      <c r="W105" s="2722"/>
      <c r="X105" s="2722"/>
      <c r="Y105" s="2722"/>
      <c r="Z105" s="2722"/>
      <c r="AA105" s="2722"/>
      <c r="AB105" s="2722"/>
      <c r="AC105" s="2722"/>
    </row>
    <row r="106" spans="1:29" ht="14.4"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6"/>
      <c r="B107" s="485" t="s">
        <v>1740</v>
      </c>
      <c r="C107" s="501"/>
      <c r="D107" s="501"/>
      <c r="E107" s="501"/>
      <c r="F107" s="530"/>
      <c r="G107" s="530"/>
      <c r="H107" s="530"/>
      <c r="I107" s="530"/>
      <c r="J107" s="530"/>
      <c r="K107" s="531"/>
      <c r="L107" s="532"/>
      <c r="M107" s="533"/>
      <c r="N107" s="2750"/>
      <c r="O107" s="2750"/>
      <c r="P107" s="2741"/>
      <c r="Q107" s="2736"/>
      <c r="R107" s="2722"/>
      <c r="S107" s="2722"/>
      <c r="T107" s="2722"/>
      <c r="U107" s="2722"/>
      <c r="V107" s="2722"/>
      <c r="W107" s="2722"/>
      <c r="X107" s="2722"/>
      <c r="Y107" s="2722"/>
      <c r="Z107" s="2722"/>
      <c r="AA107" s="2722"/>
      <c r="AB107" s="2722"/>
      <c r="AC107" s="2722"/>
    </row>
    <row r="108" spans="1:29" ht="14.4"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50"/>
      <c r="O109" s="2750"/>
      <c r="P109" s="2741"/>
      <c r="Q109" s="2736"/>
      <c r="R109" s="2722"/>
      <c r="S109" s="2722"/>
      <c r="T109" s="2722"/>
      <c r="U109" s="2722"/>
      <c r="V109" s="2722"/>
      <c r="W109" s="2722"/>
      <c r="X109" s="2722"/>
      <c r="Y109" s="2722"/>
      <c r="Z109" s="2722"/>
      <c r="AA109" s="2722"/>
      <c r="AB109" s="2722"/>
      <c r="AC109" s="2722"/>
    </row>
    <row r="110" spans="1:29">
      <c r="A110" s="546"/>
      <c r="B110" s="493"/>
      <c r="C110" s="550">
        <v>0.5</v>
      </c>
      <c r="D110" s="550">
        <v>0.6</v>
      </c>
      <c r="E110" s="550">
        <v>0.7</v>
      </c>
      <c r="F110" s="550">
        <v>0.8</v>
      </c>
      <c r="G110" s="550">
        <v>0.9</v>
      </c>
      <c r="H110" s="550">
        <v>1.0001</v>
      </c>
      <c r="I110" s="569"/>
      <c r="J110" s="569"/>
      <c r="K110" s="570"/>
      <c r="L110" s="571"/>
      <c r="M110" s="572"/>
      <c r="N110" s="2750"/>
      <c r="O110" s="2750"/>
      <c r="P110" s="2741"/>
      <c r="Q110" s="2736"/>
      <c r="R110" s="2722"/>
      <c r="S110" s="2722"/>
      <c r="T110" s="2722"/>
      <c r="U110" s="2722"/>
      <c r="V110" s="2722"/>
      <c r="W110" s="2722"/>
      <c r="X110" s="2722"/>
      <c r="Y110" s="2722"/>
      <c r="Z110" s="2722"/>
      <c r="AA110" s="2722"/>
      <c r="AB110" s="2722"/>
      <c r="AC110" s="2722"/>
    </row>
    <row r="111" spans="1:29" ht="14.4"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51"/>
      <c r="O111" s="2751"/>
      <c r="P111" s="2741"/>
      <c r="Q111" s="2736"/>
      <c r="R111" s="2722"/>
      <c r="S111" s="2722"/>
      <c r="T111" s="2722"/>
      <c r="U111" s="2722"/>
      <c r="V111" s="2722"/>
      <c r="W111" s="2722"/>
      <c r="X111" s="2722"/>
      <c r="Y111" s="2722"/>
      <c r="Z111" s="2722"/>
      <c r="AA111" s="2722"/>
      <c r="AB111" s="2722"/>
      <c r="AC111" s="2722"/>
    </row>
    <row r="112" spans="1:29" s="420" customFormat="1" ht="15" thickTop="1">
      <c r="A112" s="540"/>
      <c r="B112" s="485" t="s">
        <v>1742</v>
      </c>
      <c r="C112" s="501"/>
      <c r="D112" s="501"/>
      <c r="E112" s="501"/>
      <c r="F112" s="501"/>
      <c r="G112" s="501"/>
      <c r="H112" s="530"/>
      <c r="I112" s="530"/>
      <c r="J112" s="530"/>
      <c r="K112" s="531"/>
      <c r="L112" s="532"/>
      <c r="M112" s="533"/>
      <c r="N112" s="2752"/>
      <c r="O112" s="2752"/>
      <c r="P112" s="2742"/>
      <c r="Q112" s="2743"/>
      <c r="R112" s="2744"/>
      <c r="S112" s="2744"/>
      <c r="T112" s="2744"/>
      <c r="U112" s="2744"/>
      <c r="V112" s="2744"/>
      <c r="W112" s="2744"/>
      <c r="X112" s="2744"/>
      <c r="Y112" s="2744"/>
      <c r="Z112" s="2744"/>
      <c r="AA112" s="2744"/>
      <c r="AB112" s="2744"/>
      <c r="AC112" s="2744"/>
    </row>
    <row r="113" spans="1:29" s="420" customFormat="1" ht="14.4"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6"/>
      <c r="B114" s="485" t="s">
        <v>1806</v>
      </c>
      <c r="C114" s="501"/>
      <c r="D114" s="501"/>
      <c r="E114" s="530"/>
      <c r="F114" s="530"/>
      <c r="G114" s="530"/>
      <c r="H114" s="530"/>
      <c r="I114" s="530"/>
      <c r="J114" s="530"/>
      <c r="K114" s="531"/>
      <c r="L114" s="532"/>
      <c r="M114" s="533"/>
      <c r="N114" s="2750"/>
      <c r="O114" s="2750"/>
      <c r="P114" s="2741"/>
      <c r="Q114" s="2736"/>
      <c r="R114" s="2722"/>
      <c r="S114" s="2722"/>
      <c r="T114" s="2722"/>
      <c r="U114" s="2722"/>
      <c r="V114" s="2722"/>
      <c r="W114" s="2722"/>
      <c r="X114" s="2722"/>
      <c r="Y114" s="2722"/>
      <c r="Z114" s="2722"/>
      <c r="AA114" s="2722"/>
      <c r="AB114" s="2722"/>
      <c r="AC114" s="2722"/>
    </row>
    <row r="115" spans="1:29" ht="14.4"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6"/>
      <c r="B116" s="485" t="s">
        <v>1807</v>
      </c>
      <c r="C116" s="501"/>
      <c r="D116" s="501"/>
      <c r="E116" s="501"/>
      <c r="F116" s="501"/>
      <c r="G116" s="501"/>
      <c r="H116" s="530"/>
      <c r="I116" s="530"/>
      <c r="J116" s="530"/>
      <c r="K116" s="531"/>
      <c r="L116" s="532"/>
      <c r="M116" s="533"/>
      <c r="N116" s="2750"/>
      <c r="O116" s="2750"/>
      <c r="P116" s="2741"/>
      <c r="Q116" s="2736"/>
      <c r="R116" s="2722"/>
      <c r="S116" s="2722"/>
      <c r="T116" s="2722"/>
      <c r="U116" s="2722"/>
      <c r="V116" s="2722"/>
      <c r="W116" s="2722"/>
      <c r="X116" s="2722"/>
      <c r="Y116" s="2722"/>
      <c r="Z116" s="2722"/>
      <c r="AA116" s="2722"/>
      <c r="AB116" s="2722"/>
      <c r="AC116" s="2722"/>
    </row>
    <row r="117" spans="1:29" ht="14.4" thickBot="1">
      <c r="A117" s="481"/>
      <c r="B117" s="490"/>
      <c r="C117" s="491">
        <v>100</v>
      </c>
      <c r="D117" s="491">
        <f>C117-$K39</f>
        <v>100</v>
      </c>
      <c r="E117" s="491">
        <f>D117-$K39</f>
        <v>100</v>
      </c>
      <c r="F117" s="491">
        <f>E117-$K39</f>
        <v>100</v>
      </c>
      <c r="G117" s="491">
        <f>F117-$K39</f>
        <v>100</v>
      </c>
      <c r="H117" s="491"/>
      <c r="I117" s="491"/>
      <c r="J117" s="491"/>
      <c r="K117" s="491"/>
      <c r="L117" s="491"/>
      <c r="M117" s="492"/>
      <c r="N117" s="2751"/>
      <c r="O117" s="2751"/>
      <c r="P117" s="2741"/>
      <c r="Q117" s="2736"/>
      <c r="R117" s="2722"/>
      <c r="S117" s="2722"/>
      <c r="T117" s="2722"/>
      <c r="U117" s="2722"/>
      <c r="V117" s="2722"/>
      <c r="W117" s="2722"/>
      <c r="X117" s="2722"/>
      <c r="Y117" s="2722"/>
      <c r="Z117" s="2722"/>
      <c r="AA117" s="2722"/>
      <c r="AB117" s="2722"/>
      <c r="AC117" s="2722"/>
    </row>
    <row r="118" spans="1:29" ht="15" thickTop="1">
      <c r="A118" s="546"/>
      <c r="B118" s="485" t="s">
        <v>1808</v>
      </c>
      <c r="C118" s="573"/>
      <c r="D118" s="573"/>
      <c r="E118" s="573"/>
      <c r="F118" s="573"/>
      <c r="G118" s="573"/>
      <c r="H118" s="502"/>
      <c r="I118" s="502"/>
      <c r="J118" s="502"/>
      <c r="K118" s="502"/>
      <c r="L118" s="503"/>
      <c r="M118" s="504"/>
      <c r="N118" s="2750"/>
      <c r="O118" s="2750"/>
      <c r="P118" s="2741"/>
      <c r="Q118" s="2736"/>
      <c r="R118" s="2722"/>
      <c r="S118" s="2722"/>
      <c r="T118" s="2722"/>
      <c r="U118" s="2722"/>
      <c r="V118" s="2722"/>
      <c r="W118" s="2722"/>
      <c r="X118" s="2722"/>
      <c r="Y118" s="2722"/>
      <c r="Z118" s="2722"/>
      <c r="AA118" s="2722"/>
      <c r="AB118" s="2722"/>
      <c r="AC118" s="2722"/>
    </row>
    <row r="119" spans="1:29" ht="14.4" thickBot="1">
      <c r="A119" s="481"/>
      <c r="B119" s="490"/>
      <c r="C119" s="507"/>
      <c r="D119" s="483"/>
      <c r="E119" s="483"/>
      <c r="F119" s="483"/>
      <c r="G119" s="483"/>
      <c r="H119" s="483"/>
      <c r="I119" s="483"/>
      <c r="J119" s="483"/>
      <c r="K119" s="483"/>
      <c r="L119" s="483"/>
      <c r="M119" s="484"/>
      <c r="N119" s="2751"/>
      <c r="O119" s="2751"/>
      <c r="P119" s="2741"/>
      <c r="Q119" s="2736"/>
      <c r="R119" s="2722"/>
      <c r="S119" s="2722"/>
      <c r="T119" s="2722"/>
      <c r="U119" s="2722"/>
      <c r="V119" s="2722"/>
      <c r="W119" s="2722"/>
      <c r="X119" s="2722"/>
      <c r="Y119" s="2722"/>
      <c r="Z119" s="2722"/>
      <c r="AA119" s="2722"/>
      <c r="AB119" s="2722"/>
      <c r="AC119" s="2722"/>
    </row>
    <row r="120" spans="1:29" s="420" customFormat="1" ht="15" thickTop="1">
      <c r="A120" s="540"/>
      <c r="B120" s="485" t="s">
        <v>1809</v>
      </c>
      <c r="C120" s="530"/>
      <c r="D120" s="530"/>
      <c r="E120" s="530"/>
      <c r="F120" s="530"/>
      <c r="G120" s="502"/>
      <c r="H120" s="502"/>
      <c r="I120" s="502"/>
      <c r="J120" s="502"/>
      <c r="K120" s="502"/>
      <c r="L120" s="503"/>
      <c r="M120" s="504"/>
      <c r="N120" s="2752"/>
      <c r="O120" s="2752"/>
      <c r="P120" s="2742"/>
      <c r="Q120" s="2743"/>
      <c r="R120" s="2744"/>
      <c r="S120" s="2744"/>
      <c r="T120" s="2744"/>
      <c r="U120" s="2744"/>
      <c r="V120" s="2744"/>
      <c r="W120" s="2744"/>
      <c r="X120" s="2744"/>
      <c r="Y120" s="2744"/>
      <c r="Z120" s="2744"/>
      <c r="AA120" s="2744"/>
      <c r="AB120" s="2744"/>
      <c r="AC120" s="2744"/>
    </row>
    <row r="121" spans="1:29" s="420" customFormat="1" ht="14.4"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6"/>
      <c r="B122" s="485" t="s">
        <v>1744</v>
      </c>
      <c r="C122" s="501"/>
      <c r="D122" s="501"/>
      <c r="E122" s="501"/>
      <c r="F122" s="530"/>
      <c r="G122" s="530"/>
      <c r="H122" s="530"/>
      <c r="I122" s="530"/>
      <c r="J122" s="530"/>
      <c r="K122" s="531"/>
      <c r="L122" s="532"/>
      <c r="M122" s="533"/>
      <c r="N122" s="2750"/>
      <c r="O122" s="2750"/>
      <c r="P122" s="2741"/>
      <c r="Q122" s="2736"/>
      <c r="R122" s="2722"/>
      <c r="S122" s="2722"/>
      <c r="T122" s="2722"/>
      <c r="U122" s="2722"/>
      <c r="V122" s="2722"/>
      <c r="W122" s="2722"/>
      <c r="X122" s="2722"/>
      <c r="Y122" s="2722"/>
      <c r="Z122" s="2722"/>
      <c r="AA122" s="2722"/>
      <c r="AB122" s="2722"/>
      <c r="AC122" s="2722"/>
    </row>
    <row r="123" spans="1:29" ht="14.4"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51"/>
      <c r="O123" s="2751"/>
      <c r="P123" s="2741"/>
      <c r="Q123" s="2736"/>
      <c r="R123" s="2722"/>
      <c r="S123" s="2722"/>
      <c r="T123" s="2722"/>
      <c r="U123" s="2722"/>
      <c r="V123" s="2722"/>
      <c r="W123" s="2722"/>
      <c r="X123" s="2722"/>
      <c r="Y123" s="2722"/>
      <c r="Z123" s="2722"/>
      <c r="AA123" s="2722"/>
      <c r="AB123" s="2722"/>
      <c r="AC123" s="2722"/>
    </row>
    <row r="124" spans="1:29" ht="29.4" thickTop="1">
      <c r="A124" s="546"/>
      <c r="B124" s="485" t="s">
        <v>1745</v>
      </c>
      <c r="C124" s="525" t="s">
        <v>1721</v>
      </c>
      <c r="D124" s="525" t="s">
        <v>1722</v>
      </c>
      <c r="E124" s="525" t="s">
        <v>1723</v>
      </c>
      <c r="F124" s="525" t="s">
        <v>1724</v>
      </c>
      <c r="G124" s="525" t="s">
        <v>1725</v>
      </c>
      <c r="H124" s="486"/>
      <c r="I124" s="486"/>
      <c r="J124" s="486"/>
      <c r="K124" s="487"/>
      <c r="L124" s="488"/>
      <c r="M124" s="489"/>
      <c r="N124" s="2750"/>
      <c r="O124" s="2750"/>
      <c r="P124" s="2742"/>
      <c r="Q124" s="2736"/>
      <c r="R124" s="2722"/>
      <c r="S124" s="2722"/>
      <c r="T124" s="2722"/>
      <c r="U124" s="2722"/>
      <c r="V124" s="2722"/>
      <c r="W124" s="2722"/>
      <c r="X124" s="2722"/>
      <c r="Y124" s="2722"/>
      <c r="Z124" s="2722"/>
      <c r="AA124" s="2722"/>
      <c r="AB124" s="2722"/>
      <c r="AC124" s="2722"/>
    </row>
    <row r="125" spans="1:29" ht="14.4" thickBot="1">
      <c r="A125" s="481"/>
      <c r="B125" s="490"/>
      <c r="C125" s="491">
        <v>100</v>
      </c>
      <c r="D125" s="491">
        <f>C125-$K43</f>
        <v>100</v>
      </c>
      <c r="E125" s="491">
        <f>D125-$K43</f>
        <v>100</v>
      </c>
      <c r="F125" s="491">
        <f>E125-$K43</f>
        <v>100</v>
      </c>
      <c r="G125" s="491">
        <f>F125-$K43</f>
        <v>100</v>
      </c>
      <c r="H125" s="491"/>
      <c r="I125" s="491"/>
      <c r="J125" s="491"/>
      <c r="K125" s="491"/>
      <c r="L125" s="491"/>
      <c r="M125" s="492"/>
      <c r="N125" s="2751"/>
      <c r="O125" s="2751"/>
      <c r="P125" s="2741"/>
      <c r="Q125" s="2736"/>
      <c r="R125" s="2722"/>
      <c r="S125" s="2722"/>
      <c r="T125" s="2722"/>
      <c r="U125" s="2722"/>
      <c r="V125" s="2722"/>
      <c r="W125" s="2722"/>
      <c r="X125" s="2722"/>
      <c r="Y125" s="2722"/>
      <c r="Z125" s="2722"/>
      <c r="AA125" s="2722"/>
      <c r="AB125" s="2722"/>
      <c r="AC125" s="2722"/>
    </row>
    <row r="126" spans="1:29" s="420" customFormat="1" ht="14.4" thickTop="1">
      <c r="A126" s="540"/>
      <c r="B126" s="485">
        <f>B44</f>
        <v>111</v>
      </c>
      <c r="C126" s="501"/>
      <c r="D126" s="501"/>
      <c r="E126" s="501"/>
      <c r="F126" s="501"/>
      <c r="G126" s="501"/>
      <c r="H126" s="502"/>
      <c r="I126" s="502"/>
      <c r="J126" s="502"/>
      <c r="K126" s="502"/>
      <c r="L126" s="503"/>
      <c r="M126" s="504"/>
      <c r="N126" s="2752"/>
      <c r="O126" s="2752"/>
      <c r="P126" s="2742"/>
      <c r="Q126" s="2743"/>
      <c r="R126" s="2744"/>
      <c r="S126" s="2744"/>
      <c r="T126" s="2744"/>
      <c r="U126" s="2744"/>
      <c r="V126" s="2744"/>
      <c r="W126" s="2744"/>
      <c r="X126" s="2744"/>
      <c r="Y126" s="2744"/>
      <c r="Z126" s="2744"/>
      <c r="AA126" s="2744"/>
      <c r="AB126" s="2744"/>
      <c r="AC126" s="2744"/>
    </row>
    <row r="127" spans="1:29" s="420" customFormat="1" ht="14.4" thickBot="1">
      <c r="A127" s="500"/>
      <c r="B127" s="490"/>
      <c r="C127" s="507"/>
      <c r="D127" s="483"/>
      <c r="E127" s="483"/>
      <c r="F127" s="483"/>
      <c r="G127" s="507"/>
      <c r="H127" s="509"/>
      <c r="I127" s="509"/>
      <c r="J127" s="509"/>
      <c r="K127" s="509"/>
      <c r="L127" s="509"/>
      <c r="M127" s="510"/>
      <c r="N127" s="2752"/>
      <c r="O127" s="2752"/>
      <c r="P127" s="2742"/>
      <c r="Q127" s="2743"/>
      <c r="R127" s="2744"/>
      <c r="S127" s="2744"/>
      <c r="T127" s="2744"/>
      <c r="U127" s="2744"/>
      <c r="V127" s="2744"/>
      <c r="W127" s="2744"/>
      <c r="X127" s="2744"/>
      <c r="Y127" s="2744"/>
      <c r="Z127" s="2744"/>
      <c r="AA127" s="2744"/>
      <c r="AB127" s="2744"/>
      <c r="AC127" s="2744"/>
    </row>
    <row r="128" spans="1:29" ht="14.4" thickTop="1">
      <c r="A128" s="546"/>
      <c r="B128" s="485">
        <f>B45</f>
        <v>111</v>
      </c>
      <c r="C128" s="501"/>
      <c r="D128" s="501"/>
      <c r="E128" s="501"/>
      <c r="F128" s="501"/>
      <c r="G128" s="530"/>
      <c r="H128" s="530"/>
      <c r="I128" s="530"/>
      <c r="J128" s="530"/>
      <c r="K128" s="531"/>
      <c r="L128" s="532"/>
      <c r="M128" s="533"/>
      <c r="N128" s="2750"/>
      <c r="O128" s="2750"/>
      <c r="P128" s="2741"/>
      <c r="Q128" s="2736"/>
      <c r="R128" s="2722"/>
      <c r="S128" s="2722"/>
      <c r="T128" s="2722"/>
      <c r="U128" s="2722"/>
      <c r="V128" s="2722"/>
      <c r="W128" s="2722"/>
      <c r="X128" s="2722"/>
      <c r="Y128" s="2722"/>
      <c r="Z128" s="2722"/>
      <c r="AA128" s="2722"/>
      <c r="AB128" s="2722"/>
      <c r="AC128" s="2722"/>
    </row>
    <row r="129" spans="1:29" ht="14.4" thickBot="1">
      <c r="A129" s="481"/>
      <c r="B129" s="490"/>
      <c r="C129" s="507"/>
      <c r="D129" s="483"/>
      <c r="E129" s="483"/>
      <c r="F129" s="483"/>
      <c r="G129" s="483"/>
      <c r="H129" s="483"/>
      <c r="I129" s="483"/>
      <c r="J129" s="483"/>
      <c r="K129" s="483"/>
      <c r="L129" s="483"/>
      <c r="M129" s="484"/>
      <c r="N129" s="2751"/>
      <c r="O129" s="2751"/>
      <c r="P129" s="2741"/>
      <c r="Q129" s="2736"/>
      <c r="R129" s="2722"/>
      <c r="S129" s="2722"/>
      <c r="T129" s="2722"/>
      <c r="U129" s="2722"/>
      <c r="V129" s="2722"/>
      <c r="W129" s="2722"/>
      <c r="X129" s="2722"/>
      <c r="Y129" s="2722"/>
      <c r="Z129" s="2722"/>
      <c r="AA129" s="2722"/>
      <c r="AB129" s="2722"/>
      <c r="AC129" s="2722"/>
    </row>
    <row r="130" spans="1:29" ht="14.4" thickTop="1">
      <c r="A130" s="546"/>
      <c r="B130" s="493">
        <f>B46</f>
        <v>111</v>
      </c>
      <c r="C130" s="501"/>
      <c r="D130" s="501"/>
      <c r="E130" s="501"/>
      <c r="F130" s="501"/>
      <c r="G130" s="534"/>
      <c r="H130" s="534"/>
      <c r="I130" s="534"/>
      <c r="J130" s="534"/>
      <c r="K130" s="470"/>
      <c r="L130" s="471"/>
      <c r="M130" s="537"/>
      <c r="N130" s="2750"/>
      <c r="O130" s="2750"/>
      <c r="P130" s="2741"/>
      <c r="Q130" s="2736"/>
      <c r="R130" s="2722"/>
      <c r="S130" s="2722"/>
      <c r="T130" s="2722"/>
      <c r="U130" s="2722"/>
      <c r="V130" s="2722"/>
      <c r="W130" s="2722"/>
      <c r="X130" s="2722"/>
      <c r="Y130" s="2722"/>
      <c r="Z130" s="2722"/>
      <c r="AA130" s="2722"/>
      <c r="AB130" s="2722"/>
      <c r="AC130" s="2722"/>
    </row>
    <row r="131" spans="1:29" ht="14.4" thickBot="1">
      <c r="A131" s="1925"/>
      <c r="B131" s="516"/>
      <c r="C131" s="517"/>
      <c r="D131" s="517"/>
      <c r="E131" s="517"/>
      <c r="F131" s="517"/>
      <c r="G131" s="538"/>
      <c r="H131" s="538"/>
      <c r="I131" s="538"/>
      <c r="J131" s="538"/>
      <c r="K131" s="538"/>
      <c r="L131" s="538"/>
      <c r="M131" s="539"/>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N112" sqref="N112"/>
    </sheetView>
  </sheetViews>
  <sheetFormatPr defaultColWidth="9" defaultRowHeight="13.8"/>
  <cols>
    <col min="1" max="1" width="10.44140625" style="355" customWidth="1"/>
    <col min="2" max="2" width="15.77734375" style="355" customWidth="1"/>
    <col min="3" max="3" width="15.6640625" style="355" customWidth="1"/>
    <col min="4" max="4" width="12.21875" style="355" customWidth="1"/>
    <col min="5" max="5" width="14.33203125" style="355" customWidth="1"/>
    <col min="6" max="6" width="12.21875" style="355" customWidth="1"/>
    <col min="7" max="7" width="14.44140625" style="355" customWidth="1"/>
    <col min="8" max="8" width="12.21875" style="355" customWidth="1"/>
    <col min="9" max="9" width="14.44140625" style="355" customWidth="1"/>
    <col min="10" max="10" width="12.21875" style="355" customWidth="1"/>
    <col min="11" max="11" width="12.21875" style="442" customWidth="1"/>
    <col min="12" max="12" width="12.21875" style="443" customWidth="1"/>
    <col min="13" max="15" width="12.21875" style="355" customWidth="1"/>
    <col min="16" max="16" width="4.77734375" style="903" customWidth="1"/>
    <col min="17" max="17" width="19.44140625" style="355" customWidth="1"/>
    <col min="18" max="22" width="6.109375" style="355" customWidth="1"/>
    <col min="23" max="23" width="5.77734375" style="355" customWidth="1"/>
    <col min="24" max="24" width="4.21875" style="355" customWidth="1"/>
    <col min="25" max="25" width="3.44140625" style="355" customWidth="1"/>
    <col min="26" max="26" width="19.77734375" style="355" customWidth="1"/>
    <col min="27" max="28" width="9.33203125" style="355" customWidth="1"/>
    <col min="29" max="16384" width="9" style="355"/>
  </cols>
  <sheetData>
    <row r="1" spans="1:29" s="1230" customFormat="1" ht="28.5" customHeight="1" thickBot="1">
      <c r="A1" s="1219" t="s">
        <v>1660</v>
      </c>
      <c r="B1" s="1954" t="s">
        <v>1810</v>
      </c>
      <c r="C1" s="1221" t="s">
        <v>1662</v>
      </c>
      <c r="D1" s="1222"/>
      <c r="E1" s="3432"/>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IF(E1="项目模式",IF(C2="——",ROUND(C50*D3/10000,0),ROUND(C50*D3/10000,0)-D2),IF(E1="单套模式",IF(C2="——",ROUND(C50*D3/10000,4),ROUND(C50*D3/10000,4)-D2)))</f>
        <v>0</v>
      </c>
      <c r="C2" s="1878"/>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1"/>
      <c r="M2" s="2732"/>
      <c r="N2" s="2732"/>
      <c r="O2" s="2732"/>
      <c r="P2" s="697"/>
      <c r="Q2" s="697"/>
      <c r="R2" s="697"/>
      <c r="S2" s="697"/>
      <c r="T2" s="697"/>
      <c r="U2" s="697"/>
      <c r="V2" s="697"/>
      <c r="W2" s="697"/>
      <c r="X2" s="697"/>
      <c r="Y2" s="697"/>
      <c r="Z2" s="697"/>
      <c r="AA2" s="697"/>
      <c r="AB2" s="697"/>
      <c r="AC2" s="698"/>
    </row>
    <row r="3" spans="1:29" s="350" customFormat="1" ht="28.5" customHeight="1" thickBot="1">
      <c r="A3" s="201" t="s">
        <v>1464</v>
      </c>
      <c r="B3" s="556">
        <f>IF(C2="——",C50,ROUND(B2*10000/D3,0))</f>
        <v>0</v>
      </c>
      <c r="C3" s="352" t="s">
        <v>1768</v>
      </c>
      <c r="D3" s="351">
        <f>IF(D1="",'数据-汇总表'!E3,SUMIF('数据-汇总表'!$C19:$C33,D1,'数据-汇总表'!$E19:$E33))</f>
        <v>204.38</v>
      </c>
      <c r="E3" s="1951"/>
      <c r="F3" s="906"/>
      <c r="G3" s="905"/>
      <c r="H3" s="905"/>
      <c r="I3" s="905"/>
      <c r="J3" s="905"/>
      <c r="K3" s="907"/>
      <c r="L3" s="2731"/>
      <c r="M3" s="2732"/>
      <c r="N3" s="2732"/>
      <c r="O3" s="2732"/>
      <c r="P3" s="697"/>
      <c r="Q3" s="697"/>
      <c r="R3" s="697"/>
      <c r="S3" s="697"/>
      <c r="T3" s="697"/>
      <c r="U3" s="697"/>
      <c r="V3" s="697"/>
      <c r="W3" s="697"/>
      <c r="X3" s="697"/>
      <c r="Y3" s="697"/>
      <c r="Z3" s="697"/>
      <c r="AA3" s="697"/>
      <c r="AB3" s="697"/>
      <c r="AC3" s="698"/>
    </row>
    <row r="4" spans="1:29" ht="14.4">
      <c r="A4" s="353" t="s">
        <v>1769</v>
      </c>
      <c r="B4" s="354"/>
      <c r="C4" s="3709" t="s">
        <v>1770</v>
      </c>
      <c r="D4" s="3710"/>
      <c r="E4" s="3711" t="s">
        <v>1771</v>
      </c>
      <c r="F4" s="3712"/>
      <c r="G4" s="3709" t="s">
        <v>1772</v>
      </c>
      <c r="H4" s="3710"/>
      <c r="I4" s="3709" t="s">
        <v>1773</v>
      </c>
      <c r="J4" s="3710"/>
      <c r="K4" s="557" t="s">
        <v>1774</v>
      </c>
      <c r="L4" s="2712"/>
      <c r="M4" s="2713"/>
      <c r="N4" s="2713"/>
      <c r="O4" s="2713"/>
      <c r="P4" s="3743" t="s">
        <v>1775</v>
      </c>
      <c r="Q4" s="3744"/>
      <c r="R4" s="3747" t="s">
        <v>1771</v>
      </c>
      <c r="S4" s="3748"/>
      <c r="T4" s="3747" t="s">
        <v>1772</v>
      </c>
      <c r="U4" s="3748"/>
      <c r="V4" s="3749" t="s">
        <v>1773</v>
      </c>
      <c r="W4" s="3749"/>
      <c r="X4" s="1955"/>
      <c r="Y4" s="3747" t="s">
        <v>1775</v>
      </c>
      <c r="Z4" s="3748"/>
      <c r="AA4" s="3751" t="s">
        <v>1771</v>
      </c>
      <c r="AB4" s="3751" t="s">
        <v>1772</v>
      </c>
      <c r="AC4" s="3740" t="s">
        <v>1773</v>
      </c>
    </row>
    <row r="5" spans="1:29">
      <c r="A5" s="356"/>
      <c r="B5" s="357"/>
      <c r="C5" s="3728" t="s">
        <v>1673</v>
      </c>
      <c r="D5" s="3729"/>
      <c r="E5" s="3735" t="s">
        <v>1674</v>
      </c>
      <c r="F5" s="3736"/>
      <c r="G5" s="3728" t="s">
        <v>1675</v>
      </c>
      <c r="H5" s="3729"/>
      <c r="I5" s="3728" t="s">
        <v>1676</v>
      </c>
      <c r="J5" s="3729"/>
      <c r="K5" s="557"/>
      <c r="L5" s="2712"/>
      <c r="M5" s="2713"/>
      <c r="N5" s="2713"/>
      <c r="O5" s="2713"/>
      <c r="P5" s="3745"/>
      <c r="Q5" s="3716"/>
      <c r="R5" s="3721"/>
      <c r="S5" s="3722"/>
      <c r="T5" s="3721"/>
      <c r="U5" s="3722"/>
      <c r="V5" s="3725"/>
      <c r="W5" s="3725"/>
      <c r="X5" s="1352"/>
      <c r="Y5" s="3721"/>
      <c r="Z5" s="3722"/>
      <c r="AA5" s="3707"/>
      <c r="AB5" s="3707"/>
      <c r="AC5" s="3741"/>
    </row>
    <row r="6" spans="1:29" ht="15" thickBot="1">
      <c r="A6" s="358"/>
      <c r="B6" s="359"/>
      <c r="C6" s="3726" t="s">
        <v>1677</v>
      </c>
      <c r="D6" s="3727"/>
      <c r="E6" s="3733" t="s">
        <v>1677</v>
      </c>
      <c r="F6" s="3734"/>
      <c r="G6" s="3726" t="s">
        <v>1677</v>
      </c>
      <c r="H6" s="3727"/>
      <c r="I6" s="3726" t="s">
        <v>1677</v>
      </c>
      <c r="J6" s="3727"/>
      <c r="K6" s="557" t="s">
        <v>1678</v>
      </c>
      <c r="L6" s="2712"/>
      <c r="M6" s="2713"/>
      <c r="N6" s="2713"/>
      <c r="O6" s="2713"/>
      <c r="P6" s="3746"/>
      <c r="Q6" s="3718"/>
      <c r="R6" s="3721"/>
      <c r="S6" s="3722"/>
      <c r="T6" s="3723"/>
      <c r="U6" s="3724"/>
      <c r="V6" s="3725"/>
      <c r="W6" s="3725"/>
      <c r="X6" s="1352"/>
      <c r="Y6" s="3723"/>
      <c r="Z6" s="3724"/>
      <c r="AA6" s="3708"/>
      <c r="AB6" s="3708"/>
      <c r="AC6" s="3742"/>
    </row>
    <row r="7" spans="1:29" s="107" customFormat="1" ht="15" thickBot="1">
      <c r="A7" s="360" t="s">
        <v>1679</v>
      </c>
      <c r="B7" s="361"/>
      <c r="C7" s="362">
        <f>'数据-取费表'!B2</f>
        <v>44917</v>
      </c>
      <c r="D7" s="363">
        <v>100</v>
      </c>
      <c r="E7" s="364"/>
      <c r="F7" s="365">
        <f>SUMIF(59:59,YEAR(E7)&amp;"-"&amp;MONTH(E7),60:60)</f>
        <v>0</v>
      </c>
      <c r="G7" s="364"/>
      <c r="H7" s="363">
        <f>SUMIF(59:59,YEAR(G7)&amp;"-"&amp;MONTH(G7),60:60)</f>
        <v>0</v>
      </c>
      <c r="I7" s="364"/>
      <c r="J7" s="363">
        <f>SUMIF(59:59,YEAR(I7)&amp;"-"&amp;MONTH(I7),60:60)</f>
        <v>0</v>
      </c>
      <c r="K7" s="558"/>
      <c r="L7" s="2714"/>
      <c r="M7" s="2715"/>
      <c r="N7" s="2715"/>
      <c r="O7" s="2715"/>
      <c r="P7" s="3750" t="s">
        <v>1680</v>
      </c>
      <c r="Q7" s="3732"/>
      <c r="R7" s="699" t="s">
        <v>14</v>
      </c>
      <c r="S7" s="700">
        <f t="shared" ref="S7:S15" si="0">F7</f>
        <v>0</v>
      </c>
      <c r="T7" s="699" t="s">
        <v>14</v>
      </c>
      <c r="U7" s="700">
        <f t="shared" ref="U7:U15" si="1">H7</f>
        <v>0</v>
      </c>
      <c r="V7" s="699" t="s">
        <v>14</v>
      </c>
      <c r="W7" s="700">
        <f t="shared" ref="W7:W15" si="2">J7</f>
        <v>0</v>
      </c>
      <c r="X7" s="701"/>
      <c r="Y7" s="3730" t="s">
        <v>1680</v>
      </c>
      <c r="Z7" s="3731"/>
      <c r="AA7" s="702" t="e">
        <f>D7/F7</f>
        <v>#DIV/0!</v>
      </c>
      <c r="AB7" s="702" t="e">
        <f>D7/H7</f>
        <v>#DIV/0!</v>
      </c>
      <c r="AC7" s="1956" t="e">
        <f>D7/J7</f>
        <v>#DIV/0!</v>
      </c>
    </row>
    <row r="8" spans="1:29" s="107" customFormat="1" ht="15" thickBot="1">
      <c r="A8" s="360" t="s">
        <v>1681</v>
      </c>
      <c r="B8" s="361"/>
      <c r="C8" s="366"/>
      <c r="D8" s="363">
        <v>100</v>
      </c>
      <c r="E8" s="366"/>
      <c r="F8" s="365">
        <f>SUMIF(62:62,E8,63:63)-SUMIF(62:62,C8,63:63)+100</f>
        <v>100</v>
      </c>
      <c r="G8" s="366"/>
      <c r="H8" s="363">
        <f>SUMIF(62:62,G8,63:63)-SUMIF(62:62,C8,63:63)+100</f>
        <v>100</v>
      </c>
      <c r="I8" s="366"/>
      <c r="J8" s="363">
        <f>SUMIF(62:62,I8,63:63)-SUMIF(62:62,C8,63:63)+100</f>
        <v>100</v>
      </c>
      <c r="K8" s="558"/>
      <c r="L8" s="2714"/>
      <c r="M8" s="2715"/>
      <c r="N8" s="2715"/>
      <c r="O8" s="2715"/>
      <c r="P8" s="3750" t="s">
        <v>1683</v>
      </c>
      <c r="Q8" s="3731"/>
      <c r="R8" s="699" t="s">
        <v>14</v>
      </c>
      <c r="S8" s="700">
        <f t="shared" si="0"/>
        <v>100</v>
      </c>
      <c r="T8" s="699" t="s">
        <v>14</v>
      </c>
      <c r="U8" s="700">
        <f t="shared" si="1"/>
        <v>100</v>
      </c>
      <c r="V8" s="699" t="s">
        <v>14</v>
      </c>
      <c r="W8" s="700">
        <f t="shared" si="2"/>
        <v>100</v>
      </c>
      <c r="X8" s="701"/>
      <c r="Y8" s="3730" t="s">
        <v>1683</v>
      </c>
      <c r="Z8" s="3731"/>
      <c r="AA8" s="702">
        <f t="shared" ref="AA8:AA47" si="3">D8/F8</f>
        <v>1</v>
      </c>
      <c r="AB8" s="702">
        <f t="shared" ref="AB8:AB47" si="4">D8/H8</f>
        <v>1</v>
      </c>
      <c r="AC8" s="1956">
        <f t="shared" ref="AC8:AC47" si="5">D8/J8</f>
        <v>1</v>
      </c>
    </row>
    <row r="9" spans="1:29" s="107" customFormat="1" ht="14.4">
      <c r="A9" s="367" t="s">
        <v>1684</v>
      </c>
      <c r="B9" s="63" t="s">
        <v>1685</v>
      </c>
      <c r="C9" s="368"/>
      <c r="D9" s="124">
        <v>100</v>
      </c>
      <c r="E9" s="371"/>
      <c r="F9" s="124">
        <f>SUMIF(64:64,E9,65:65)-SUMIF(64:64,C9,65:65)+100</f>
        <v>100</v>
      </c>
      <c r="G9" s="369"/>
      <c r="H9" s="124">
        <f>SUMIF(64:64,G9,65:65)-SUMIF(64:64,C9,65:65)+100</f>
        <v>100</v>
      </c>
      <c r="I9" s="369"/>
      <c r="J9" s="124">
        <f>SUMIF(64:64,I9,65:65)-SUMIF(64:64,C9,65:65)+100</f>
        <v>100</v>
      </c>
      <c r="K9" s="558"/>
      <c r="L9" s="2714"/>
      <c r="M9" s="2715"/>
      <c r="N9" s="2715"/>
      <c r="O9" s="2715"/>
      <c r="P9" s="3705" t="s">
        <v>1686</v>
      </c>
      <c r="Q9" s="1340" t="str">
        <f t="shared" ref="Q9:Q15" si="6">B9</f>
        <v>用途</v>
      </c>
      <c r="R9" s="699" t="s">
        <v>14</v>
      </c>
      <c r="S9" s="700">
        <f t="shared" si="0"/>
        <v>100</v>
      </c>
      <c r="T9" s="699" t="s">
        <v>14</v>
      </c>
      <c r="U9" s="700">
        <f t="shared" si="1"/>
        <v>100</v>
      </c>
      <c r="V9" s="699" t="s">
        <v>14</v>
      </c>
      <c r="W9" s="700">
        <f t="shared" si="2"/>
        <v>100</v>
      </c>
      <c r="X9" s="701"/>
      <c r="Y9" s="3550" t="s">
        <v>1687</v>
      </c>
      <c r="Z9" s="52" t="str">
        <f t="shared" ref="Z9:Z15" si="7">Q9</f>
        <v>用途</v>
      </c>
      <c r="AA9" s="702">
        <f t="shared" si="3"/>
        <v>1</v>
      </c>
      <c r="AB9" s="702">
        <f t="shared" si="4"/>
        <v>1</v>
      </c>
      <c r="AC9" s="1956">
        <f t="shared" si="5"/>
        <v>1</v>
      </c>
    </row>
    <row r="10" spans="1:29" s="376" customFormat="1" ht="28.8">
      <c r="A10" s="372"/>
      <c r="B10" s="373" t="s">
        <v>1688</v>
      </c>
      <c r="C10" s="3434"/>
      <c r="D10" s="125">
        <v>100</v>
      </c>
      <c r="E10" s="3434"/>
      <c r="F10" s="125">
        <f>SUMIF(66:66,E10,67:67)-SUMIF(66:66,C10,67:67)+100</f>
        <v>100</v>
      </c>
      <c r="G10" s="3435"/>
      <c r="H10" s="125">
        <f>SUMIF(66:66,G10,67:67)-SUMIF(66:66,C10,67:67)+100</f>
        <v>100</v>
      </c>
      <c r="I10" s="3434"/>
      <c r="J10" s="125">
        <f>SUMIF(66:66,I10,67:67)-SUMIF(66:66,C10,67:67)+100</f>
        <v>100</v>
      </c>
      <c r="K10" s="558"/>
      <c r="L10" s="2716"/>
      <c r="M10" s="2717"/>
      <c r="N10" s="2717"/>
      <c r="O10" s="2717"/>
      <c r="P10" s="3705"/>
      <c r="Q10" s="1340" t="str">
        <f t="shared" si="6"/>
        <v>土地使用年限（年）</v>
      </c>
      <c r="R10" s="699" t="s">
        <v>14</v>
      </c>
      <c r="S10" s="700">
        <f t="shared" si="0"/>
        <v>100</v>
      </c>
      <c r="T10" s="699" t="s">
        <v>14</v>
      </c>
      <c r="U10" s="700">
        <f t="shared" si="1"/>
        <v>100</v>
      </c>
      <c r="V10" s="699" t="s">
        <v>14</v>
      </c>
      <c r="W10" s="700">
        <f t="shared" si="2"/>
        <v>100</v>
      </c>
      <c r="X10" s="701"/>
      <c r="Y10" s="3550"/>
      <c r="Z10" s="52" t="str">
        <f t="shared" si="7"/>
        <v>土地使用年限（年）</v>
      </c>
      <c r="AA10" s="702">
        <f t="shared" si="3"/>
        <v>1</v>
      </c>
      <c r="AB10" s="702">
        <f t="shared" si="4"/>
        <v>1</v>
      </c>
      <c r="AC10" s="1956">
        <f t="shared" si="5"/>
        <v>1</v>
      </c>
    </row>
    <row r="11" spans="1:29" ht="15">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8"/>
      <c r="M11" s="2713"/>
      <c r="N11" s="2713"/>
      <c r="O11" s="2713"/>
      <c r="P11" s="3705"/>
      <c r="Q11" s="1340" t="str">
        <f t="shared" si="6"/>
        <v>容积率</v>
      </c>
      <c r="R11" s="699" t="s">
        <v>14</v>
      </c>
      <c r="S11" s="700">
        <f t="shared" si="0"/>
        <v>100</v>
      </c>
      <c r="T11" s="699" t="s">
        <v>14</v>
      </c>
      <c r="U11" s="700">
        <f t="shared" si="1"/>
        <v>100</v>
      </c>
      <c r="V11" s="699" t="s">
        <v>14</v>
      </c>
      <c r="W11" s="700">
        <f t="shared" si="2"/>
        <v>100</v>
      </c>
      <c r="X11" s="701"/>
      <c r="Y11" s="3550"/>
      <c r="Z11" s="52" t="str">
        <f t="shared" si="7"/>
        <v>容积率</v>
      </c>
      <c r="AA11" s="702">
        <f t="shared" si="3"/>
        <v>1</v>
      </c>
      <c r="AB11" s="702">
        <f t="shared" si="4"/>
        <v>1</v>
      </c>
      <c r="AC11" s="1956">
        <f t="shared" si="5"/>
        <v>1</v>
      </c>
    </row>
    <row r="12" spans="1:29" s="107" customFormat="1" ht="15">
      <c r="A12" s="380"/>
      <c r="B12" s="1890">
        <v>111</v>
      </c>
      <c r="C12" s="381"/>
      <c r="D12" s="382">
        <v>100</v>
      </c>
      <c r="E12" s="381"/>
      <c r="F12" s="125">
        <f>SUMIF(71:71,E12,72:72)-SUMIF(71:71,C12,72:72)+100</f>
        <v>100</v>
      </c>
      <c r="G12" s="1957"/>
      <c r="H12" s="125">
        <f>SUMIF(71:71,G12,72:72)-SUMIF(71:71,C12,72:72)+100</f>
        <v>100</v>
      </c>
      <c r="I12" s="381"/>
      <c r="J12" s="125">
        <f>SUMIF(71:71,I12,72:72)-SUMIF(71:71,C12,72:72)+100</f>
        <v>100</v>
      </c>
      <c r="K12" s="560"/>
      <c r="L12" s="2714"/>
      <c r="M12" s="2715"/>
      <c r="N12" s="2715"/>
      <c r="O12" s="2715"/>
      <c r="P12" s="3705"/>
      <c r="Q12" s="1340">
        <f t="shared" si="6"/>
        <v>111</v>
      </c>
      <c r="R12" s="699" t="s">
        <v>14</v>
      </c>
      <c r="S12" s="700">
        <f t="shared" si="0"/>
        <v>100</v>
      </c>
      <c r="T12" s="699" t="s">
        <v>14</v>
      </c>
      <c r="U12" s="700">
        <f t="shared" si="1"/>
        <v>100</v>
      </c>
      <c r="V12" s="699" t="s">
        <v>14</v>
      </c>
      <c r="W12" s="700">
        <f t="shared" si="2"/>
        <v>100</v>
      </c>
      <c r="X12" s="701"/>
      <c r="Y12" s="3550"/>
      <c r="Z12" s="52">
        <f t="shared" si="7"/>
        <v>111</v>
      </c>
      <c r="AA12" s="702">
        <f>D12/F12</f>
        <v>1</v>
      </c>
      <c r="AB12" s="702">
        <f>D12/H12</f>
        <v>1</v>
      </c>
      <c r="AC12" s="1956">
        <f>D12/J12</f>
        <v>1</v>
      </c>
    </row>
    <row r="13" spans="1:29" ht="15">
      <c r="A13" s="377"/>
      <c r="B13" s="1890">
        <v>111</v>
      </c>
      <c r="C13" s="383"/>
      <c r="D13" s="384">
        <v>100</v>
      </c>
      <c r="E13" s="381"/>
      <c r="F13" s="125">
        <f>SUMIF(73:73,E13,74:74)-SUMIF(73:73,C13,74:74)+100</f>
        <v>100</v>
      </c>
      <c r="G13" s="1957"/>
      <c r="H13" s="384">
        <f>SUMIF(73:73,G13,74:74)-SUMIF(73:73,C13,74:74)+100</f>
        <v>100</v>
      </c>
      <c r="I13" s="381"/>
      <c r="J13" s="384">
        <f>SUMIF(73:73,I13,74:74)-SUMIF(73:73,C13,74:74)+100</f>
        <v>100</v>
      </c>
      <c r="K13" s="560"/>
      <c r="L13" s="2719"/>
      <c r="M13" s="2713"/>
      <c r="N13" s="2713"/>
      <c r="O13" s="2713"/>
      <c r="P13" s="3705"/>
      <c r="Q13" s="1340">
        <f t="shared" si="6"/>
        <v>111</v>
      </c>
      <c r="R13" s="699" t="s">
        <v>14</v>
      </c>
      <c r="S13" s="700">
        <f t="shared" si="0"/>
        <v>100</v>
      </c>
      <c r="T13" s="699" t="s">
        <v>14</v>
      </c>
      <c r="U13" s="700">
        <f t="shared" si="1"/>
        <v>100</v>
      </c>
      <c r="V13" s="699" t="s">
        <v>14</v>
      </c>
      <c r="W13" s="700">
        <f t="shared" si="2"/>
        <v>100</v>
      </c>
      <c r="X13" s="701"/>
      <c r="Y13" s="3550"/>
      <c r="Z13" s="52">
        <f t="shared" si="7"/>
        <v>111</v>
      </c>
      <c r="AA13" s="702">
        <f t="shared" si="3"/>
        <v>1</v>
      </c>
      <c r="AB13" s="702">
        <f t="shared" si="4"/>
        <v>1</v>
      </c>
      <c r="AC13" s="1956">
        <f t="shared" si="5"/>
        <v>1</v>
      </c>
    </row>
    <row r="14" spans="1:29" ht="15.6" thickBot="1">
      <c r="A14" s="385"/>
      <c r="B14" s="1892">
        <v>111</v>
      </c>
      <c r="C14" s="386"/>
      <c r="D14" s="387">
        <v>100</v>
      </c>
      <c r="E14" s="574"/>
      <c r="F14" s="387">
        <f>SUMIF(75:75,E14,76:76)-SUMIF(75:75,C14,76:76)+100</f>
        <v>100</v>
      </c>
      <c r="G14" s="1957"/>
      <c r="H14" s="387">
        <f>SUMIF(75:75,G14,76:76)-SUMIF(75:75,C14,76:76)+100</f>
        <v>100</v>
      </c>
      <c r="I14" s="381"/>
      <c r="J14" s="387">
        <f>SUMIF(75:75,I14,76:76)-SUMIF(75:75,C14,76:76)+100</f>
        <v>100</v>
      </c>
      <c r="K14" s="560"/>
      <c r="L14" s="2719"/>
      <c r="M14" s="2713"/>
      <c r="N14" s="2713"/>
      <c r="O14" s="2713"/>
      <c r="P14" s="3705"/>
      <c r="Q14" s="1340">
        <f t="shared" si="6"/>
        <v>111</v>
      </c>
      <c r="R14" s="699" t="s">
        <v>14</v>
      </c>
      <c r="S14" s="700">
        <f t="shared" si="0"/>
        <v>100</v>
      </c>
      <c r="T14" s="699" t="s">
        <v>14</v>
      </c>
      <c r="U14" s="700">
        <f t="shared" si="1"/>
        <v>100</v>
      </c>
      <c r="V14" s="699" t="s">
        <v>14</v>
      </c>
      <c r="W14" s="700">
        <f t="shared" si="2"/>
        <v>100</v>
      </c>
      <c r="X14" s="701"/>
      <c r="Y14" s="3550"/>
      <c r="Z14" s="52">
        <f t="shared" si="7"/>
        <v>111</v>
      </c>
      <c r="AA14" s="702">
        <f t="shared" si="3"/>
        <v>1</v>
      </c>
      <c r="AB14" s="702">
        <f t="shared" si="4"/>
        <v>1</v>
      </c>
      <c r="AC14" s="1956">
        <f t="shared" si="5"/>
        <v>1</v>
      </c>
    </row>
    <row r="15" spans="1:29" ht="69">
      <c r="A15" s="389" t="s">
        <v>1690</v>
      </c>
      <c r="B15" s="575" t="s">
        <v>1811</v>
      </c>
      <c r="C15" s="1958" t="str">
        <f>估价对象房地状况!C5</f>
        <v>估价对象位于XX商圈，周边办公楼项目较多，入驻率高，办公集聚程度较好</v>
      </c>
      <c r="D15" s="390">
        <v>100</v>
      </c>
      <c r="E15" s="393"/>
      <c r="F15" s="390">
        <f>SUMIF(77:77,E16,78:78)-SUMIF(77:77,C16,78:78)+100</f>
        <v>100</v>
      </c>
      <c r="G15" s="391"/>
      <c r="H15" s="390">
        <f>SUMIF(77:77,G16,78:78)-SUMIF(77:77,C16,78:78)+100</f>
        <v>100</v>
      </c>
      <c r="I15" s="391"/>
      <c r="J15" s="390">
        <f>SUMIF(77:77,I16,78:78)-SUMIF(77:77,C16,78:78)+100</f>
        <v>100</v>
      </c>
      <c r="K15" s="561"/>
      <c r="L15" s="2719"/>
      <c r="M15" s="2713"/>
      <c r="N15" s="2713"/>
      <c r="O15" s="2713"/>
      <c r="P15" s="3703" t="s">
        <v>1691</v>
      </c>
      <c r="Q15" s="1349" t="str">
        <f t="shared" si="6"/>
        <v>办公集聚程度</v>
      </c>
      <c r="R15" s="703" t="s">
        <v>14</v>
      </c>
      <c r="S15" s="704">
        <f t="shared" si="0"/>
        <v>100</v>
      </c>
      <c r="T15" s="703" t="s">
        <v>14</v>
      </c>
      <c r="U15" s="704">
        <f t="shared" si="1"/>
        <v>100</v>
      </c>
      <c r="V15" s="703" t="s">
        <v>14</v>
      </c>
      <c r="W15" s="704">
        <f t="shared" si="2"/>
        <v>100</v>
      </c>
      <c r="X15" s="1352"/>
      <c r="Y15" s="3696" t="s">
        <v>1691</v>
      </c>
      <c r="Z15" s="1353" t="str">
        <f t="shared" si="7"/>
        <v>办公集聚程度</v>
      </c>
      <c r="AA15" s="1350">
        <f t="shared" si="3"/>
        <v>1</v>
      </c>
      <c r="AB15" s="1350">
        <f t="shared" si="4"/>
        <v>1</v>
      </c>
      <c r="AC15" s="1959">
        <f t="shared" si="5"/>
        <v>1</v>
      </c>
    </row>
    <row r="16" spans="1:29" ht="15">
      <c r="A16" s="377"/>
      <c r="B16" s="576"/>
      <c r="C16" s="1901"/>
      <c r="D16" s="397"/>
      <c r="E16" s="396"/>
      <c r="F16" s="397"/>
      <c r="G16" s="1901"/>
      <c r="H16" s="399"/>
      <c r="I16" s="396"/>
      <c r="J16" s="397"/>
      <c r="K16" s="562"/>
      <c r="L16" s="2719"/>
      <c r="M16" s="2713"/>
      <c r="N16" s="2713"/>
      <c r="O16" s="2713"/>
      <c r="P16" s="3704"/>
      <c r="Q16" s="1349"/>
      <c r="R16" s="703"/>
      <c r="S16" s="704"/>
      <c r="T16" s="703"/>
      <c r="U16" s="704"/>
      <c r="V16" s="703"/>
      <c r="W16" s="704"/>
      <c r="X16" s="1352"/>
      <c r="Y16" s="3697"/>
      <c r="Z16" s="1353"/>
      <c r="AA16" s="1350">
        <v>1</v>
      </c>
      <c r="AB16" s="1350">
        <v>1</v>
      </c>
      <c r="AC16" s="1959">
        <v>1</v>
      </c>
    </row>
    <row r="17" spans="1:29" ht="82.8">
      <c r="A17" s="377"/>
      <c r="B17" s="577" t="s">
        <v>1259</v>
      </c>
      <c r="C17" s="1960"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c r="L17" s="2719"/>
      <c r="M17" s="2713"/>
      <c r="N17" s="2713"/>
      <c r="O17" s="2713"/>
      <c r="P17" s="3704"/>
      <c r="Q17" s="1349" t="str">
        <f>B17</f>
        <v>交通便捷度</v>
      </c>
      <c r="R17" s="703" t="s">
        <v>14</v>
      </c>
      <c r="S17" s="704">
        <f>F17</f>
        <v>100</v>
      </c>
      <c r="T17" s="703" t="s">
        <v>14</v>
      </c>
      <c r="U17" s="704">
        <f>H17</f>
        <v>100</v>
      </c>
      <c r="V17" s="703" t="s">
        <v>14</v>
      </c>
      <c r="W17" s="704">
        <f>J17</f>
        <v>100</v>
      </c>
      <c r="X17" s="1352"/>
      <c r="Y17" s="3697"/>
      <c r="Z17" s="1353" t="str">
        <f>Q17</f>
        <v>交通便捷度</v>
      </c>
      <c r="AA17" s="1350">
        <f t="shared" si="3"/>
        <v>1</v>
      </c>
      <c r="AB17" s="1350">
        <f t="shared" si="4"/>
        <v>1</v>
      </c>
      <c r="AC17" s="1959">
        <f t="shared" si="5"/>
        <v>1</v>
      </c>
    </row>
    <row r="18" spans="1:29" ht="15">
      <c r="A18" s="377"/>
      <c r="B18" s="578"/>
      <c r="C18" s="1961"/>
      <c r="D18" s="399"/>
      <c r="E18" s="1899"/>
      <c r="F18" s="399"/>
      <c r="G18" s="1900"/>
      <c r="H18" s="397"/>
      <c r="I18" s="1900"/>
      <c r="J18" s="397"/>
      <c r="K18" s="562"/>
      <c r="L18" s="2719"/>
      <c r="M18" s="2713"/>
      <c r="N18" s="2713"/>
      <c r="O18" s="2713"/>
      <c r="P18" s="3704"/>
      <c r="Q18" s="1349"/>
      <c r="R18" s="703"/>
      <c r="S18" s="704"/>
      <c r="T18" s="703"/>
      <c r="U18" s="704"/>
      <c r="V18" s="703"/>
      <c r="W18" s="704"/>
      <c r="X18" s="1352"/>
      <c r="Y18" s="3697"/>
      <c r="Z18" s="1353"/>
      <c r="AA18" s="1350">
        <v>1</v>
      </c>
      <c r="AB18" s="1350">
        <v>1</v>
      </c>
      <c r="AC18" s="1959">
        <v>1</v>
      </c>
    </row>
    <row r="19" spans="1:29" ht="41.4">
      <c r="A19" s="377"/>
      <c r="B19" s="577" t="s">
        <v>1812</v>
      </c>
      <c r="C19" s="1960" t="str">
        <f>估价对象房地状况!C7</f>
        <v>估价对象所在区域公共配套设施齐备情况</v>
      </c>
      <c r="D19" s="404">
        <v>100</v>
      </c>
      <c r="E19" s="408"/>
      <c r="F19" s="404">
        <f>SUMIF(81:81,E20,82:82)-SUMIF(81:81,C20,82:82)+100</f>
        <v>100</v>
      </c>
      <c r="G19" s="406"/>
      <c r="H19" s="399">
        <f>SUMIF(81:81,G20,82:82)-SUMIF(81:81,C20,82:82)+100</f>
        <v>100</v>
      </c>
      <c r="I19" s="406"/>
      <c r="J19" s="399">
        <f>SUMIF(81:81,I20,82:82)-SUMIF(81:81,C20,82:82)+100</f>
        <v>100</v>
      </c>
      <c r="K19" s="561"/>
      <c r="L19" s="2719"/>
      <c r="M19" s="2713"/>
      <c r="N19" s="2713"/>
      <c r="O19" s="2713"/>
      <c r="P19" s="3704"/>
      <c r="Q19" s="1349" t="str">
        <f>B19</f>
        <v>公共配套设施</v>
      </c>
      <c r="R19" s="703" t="s">
        <v>14</v>
      </c>
      <c r="S19" s="704">
        <f>F19</f>
        <v>100</v>
      </c>
      <c r="T19" s="703" t="s">
        <v>14</v>
      </c>
      <c r="U19" s="704">
        <f>H19</f>
        <v>100</v>
      </c>
      <c r="V19" s="703" t="s">
        <v>14</v>
      </c>
      <c r="W19" s="704">
        <f>J19</f>
        <v>100</v>
      </c>
      <c r="X19" s="1352"/>
      <c r="Y19" s="3697"/>
      <c r="Z19" s="1353" t="str">
        <f>Q19</f>
        <v>公共配套设施</v>
      </c>
      <c r="AA19" s="1350">
        <f t="shared" si="3"/>
        <v>1</v>
      </c>
      <c r="AB19" s="1350">
        <f t="shared" si="4"/>
        <v>1</v>
      </c>
      <c r="AC19" s="1959">
        <f t="shared" si="5"/>
        <v>1</v>
      </c>
    </row>
    <row r="20" spans="1:29" ht="15">
      <c r="A20" s="377"/>
      <c r="B20" s="578"/>
      <c r="C20" s="1901"/>
      <c r="D20" s="397"/>
      <c r="E20" s="1894"/>
      <c r="F20" s="397"/>
      <c r="G20" s="1895"/>
      <c r="H20" s="397"/>
      <c r="I20" s="1895"/>
      <c r="J20" s="397"/>
      <c r="K20" s="562"/>
      <c r="L20" s="2719"/>
      <c r="M20" s="2713"/>
      <c r="N20" s="2713"/>
      <c r="O20" s="2713"/>
      <c r="P20" s="3704"/>
      <c r="Q20" s="1349"/>
      <c r="R20" s="703"/>
      <c r="S20" s="704"/>
      <c r="T20" s="703"/>
      <c r="U20" s="704"/>
      <c r="V20" s="703"/>
      <c r="W20" s="704"/>
      <c r="X20" s="1352"/>
      <c r="Y20" s="3697"/>
      <c r="Z20" s="1353"/>
      <c r="AA20" s="1350">
        <v>1</v>
      </c>
      <c r="AB20" s="1350">
        <v>1</v>
      </c>
      <c r="AC20" s="1959">
        <v>1</v>
      </c>
    </row>
    <row r="21" spans="1:29" ht="27.6">
      <c r="A21" s="377"/>
      <c r="B21" s="579" t="s">
        <v>1813</v>
      </c>
      <c r="C21" s="1960" t="str">
        <f>估价对象房地状况!C8</f>
        <v>估价对象所在区域基础设施水平</v>
      </c>
      <c r="D21" s="399">
        <v>100</v>
      </c>
      <c r="E21" s="408"/>
      <c r="F21" s="404">
        <f>SUMIF(83:83,E22,84:84)-SUMIF(83:83,C22,84:84)+100</f>
        <v>100</v>
      </c>
      <c r="G21" s="406"/>
      <c r="H21" s="399">
        <f>SUMIF(83:83,G22,84:84)-SUMIF(83:83,C22,84:84)+100</f>
        <v>100</v>
      </c>
      <c r="I21" s="406"/>
      <c r="J21" s="399">
        <f>SUMIF(83:83,I22,84:84)-SUMIF(83:83,C22,84:84)+100</f>
        <v>100</v>
      </c>
      <c r="K21" s="561"/>
      <c r="L21" s="2719"/>
      <c r="M21" s="2713"/>
      <c r="N21" s="2713"/>
      <c r="O21" s="2713"/>
      <c r="P21" s="3704"/>
      <c r="Q21" s="1349" t="str">
        <f>B21</f>
        <v>基础设施水平</v>
      </c>
      <c r="R21" s="703" t="s">
        <v>14</v>
      </c>
      <c r="S21" s="704">
        <f>F21</f>
        <v>100</v>
      </c>
      <c r="T21" s="703" t="s">
        <v>14</v>
      </c>
      <c r="U21" s="704">
        <f>H21</f>
        <v>100</v>
      </c>
      <c r="V21" s="703" t="s">
        <v>14</v>
      </c>
      <c r="W21" s="704">
        <f>J21</f>
        <v>100</v>
      </c>
      <c r="X21" s="1352"/>
      <c r="Y21" s="3697"/>
      <c r="Z21" s="1353" t="str">
        <f>Q21</f>
        <v>基础设施水平</v>
      </c>
      <c r="AA21" s="1350">
        <f t="shared" ref="AA21" si="8">D21/F21</f>
        <v>1</v>
      </c>
      <c r="AB21" s="1350">
        <f t="shared" ref="AB21" si="9">D21/H21</f>
        <v>1</v>
      </c>
      <c r="AC21" s="1959">
        <f t="shared" ref="AC21" si="10">D21/J21</f>
        <v>1</v>
      </c>
    </row>
    <row r="22" spans="1:29" ht="15">
      <c r="A22" s="377"/>
      <c r="B22" s="579"/>
      <c r="C22" s="1961"/>
      <c r="D22" s="397"/>
      <c r="E22" s="396"/>
      <c r="F22" s="397"/>
      <c r="G22" s="1901"/>
      <c r="H22" s="397"/>
      <c r="I22" s="1901"/>
      <c r="J22" s="397"/>
      <c r="K22" s="1127"/>
      <c r="L22" s="2719"/>
      <c r="M22" s="2713"/>
      <c r="N22" s="2713"/>
      <c r="O22" s="2713"/>
      <c r="P22" s="3704"/>
      <c r="Q22" s="1349"/>
      <c r="R22" s="703"/>
      <c r="S22" s="704"/>
      <c r="T22" s="703"/>
      <c r="U22" s="704"/>
      <c r="V22" s="703"/>
      <c r="W22" s="704"/>
      <c r="X22" s="1352"/>
      <c r="Y22" s="3697"/>
      <c r="Z22" s="1353"/>
      <c r="AA22" s="1350">
        <v>1</v>
      </c>
      <c r="AB22" s="1350">
        <v>1</v>
      </c>
      <c r="AC22" s="1959">
        <v>1</v>
      </c>
    </row>
    <row r="23" spans="1:29" ht="55.2">
      <c r="A23" s="377"/>
      <c r="B23" s="577" t="s">
        <v>1814</v>
      </c>
      <c r="C23" s="1960" t="str">
        <f>估价对象房地状况!C9</f>
        <v>区域自然环境：；人文环境；综合评价环境状况一般</v>
      </c>
      <c r="D23" s="399">
        <v>100</v>
      </c>
      <c r="E23" s="403"/>
      <c r="F23" s="399">
        <f>SUMIF(85:85,E24,86:86)-SUMIF(85:85,C24,86:86)+100</f>
        <v>100</v>
      </c>
      <c r="G23" s="401"/>
      <c r="H23" s="399">
        <f>SUMIF(85:85,G24,86:86)-SUMIF(85:85,C24,86:86)+100</f>
        <v>100</v>
      </c>
      <c r="I23" s="401"/>
      <c r="J23" s="399">
        <f>SUMIF(85:85,I24,86:86)-SUMIF(85:85,C24,86:86)+100</f>
        <v>100</v>
      </c>
      <c r="K23" s="561"/>
      <c r="L23" s="2719"/>
      <c r="M23" s="2713"/>
      <c r="N23" s="2713"/>
      <c r="O23" s="2713"/>
      <c r="P23" s="3704"/>
      <c r="Q23" s="1349" t="str">
        <f>B23</f>
        <v>环境质量</v>
      </c>
      <c r="R23" s="703" t="s">
        <v>14</v>
      </c>
      <c r="S23" s="704">
        <f>F23</f>
        <v>100</v>
      </c>
      <c r="T23" s="703" t="s">
        <v>14</v>
      </c>
      <c r="U23" s="704">
        <f>H23</f>
        <v>100</v>
      </c>
      <c r="V23" s="703" t="s">
        <v>14</v>
      </c>
      <c r="W23" s="704">
        <f>J23</f>
        <v>100</v>
      </c>
      <c r="X23" s="1352"/>
      <c r="Y23" s="3697"/>
      <c r="Z23" s="1353" t="str">
        <f>Q23</f>
        <v>环境质量</v>
      </c>
      <c r="AA23" s="1350">
        <f t="shared" si="3"/>
        <v>1</v>
      </c>
      <c r="AB23" s="1350">
        <f t="shared" si="4"/>
        <v>1</v>
      </c>
      <c r="AC23" s="1959">
        <f t="shared" si="5"/>
        <v>1</v>
      </c>
    </row>
    <row r="24" spans="1:29" ht="15">
      <c r="A24" s="377"/>
      <c r="B24" s="579"/>
      <c r="C24" s="1901"/>
      <c r="D24" s="397"/>
      <c r="E24" s="1894"/>
      <c r="F24" s="397"/>
      <c r="G24" s="1895"/>
      <c r="H24" s="397"/>
      <c r="I24" s="1895"/>
      <c r="J24" s="397"/>
      <c r="K24" s="562"/>
      <c r="L24" s="2719"/>
      <c r="M24" s="2713"/>
      <c r="N24" s="2713"/>
      <c r="O24" s="2713"/>
      <c r="P24" s="3704"/>
      <c r="Q24" s="1349"/>
      <c r="R24" s="703"/>
      <c r="S24" s="704"/>
      <c r="T24" s="703"/>
      <c r="U24" s="704"/>
      <c r="V24" s="703"/>
      <c r="W24" s="704"/>
      <c r="X24" s="1352"/>
      <c r="Y24" s="3697"/>
      <c r="Z24" s="1353"/>
      <c r="AA24" s="1350">
        <v>1</v>
      </c>
      <c r="AB24" s="1350">
        <v>1</v>
      </c>
      <c r="AC24" s="1959">
        <v>1</v>
      </c>
    </row>
    <row r="25" spans="1:29" ht="28.8">
      <c r="A25" s="356"/>
      <c r="B25" s="577" t="s">
        <v>1815</v>
      </c>
      <c r="C25" s="1905"/>
      <c r="D25" s="384">
        <v>100</v>
      </c>
      <c r="E25" s="383"/>
      <c r="F25" s="384">
        <f>SUMIF(87:87,E26,88:88)-SUMIF(87:87,C26,88:88)+100</f>
        <v>100</v>
      </c>
      <c r="G25" s="1905"/>
      <c r="H25" s="384">
        <f>SUMIF(87:87,G26,88:88)-SUMIF(87:87,C26,88:88)+100</f>
        <v>100</v>
      </c>
      <c r="I25" s="383"/>
      <c r="J25" s="384">
        <f>SUMIF(87:87,I26,88:88)-SUMIF(87:87,C26,88:88)+100</f>
        <v>100</v>
      </c>
      <c r="K25" s="561"/>
      <c r="L25" s="2719"/>
      <c r="M25" s="2713"/>
      <c r="N25" s="2713"/>
      <c r="O25" s="2713"/>
      <c r="P25" s="3704"/>
      <c r="Q25" s="1349" t="str">
        <f>B25</f>
        <v>毗邻道路的类型与等级</v>
      </c>
      <c r="R25" s="703" t="s">
        <v>14</v>
      </c>
      <c r="S25" s="704">
        <f>F25</f>
        <v>100</v>
      </c>
      <c r="T25" s="703" t="s">
        <v>14</v>
      </c>
      <c r="U25" s="704">
        <f>H25</f>
        <v>100</v>
      </c>
      <c r="V25" s="703" t="s">
        <v>14</v>
      </c>
      <c r="W25" s="704">
        <f>J25</f>
        <v>100</v>
      </c>
      <c r="X25" s="1352"/>
      <c r="Y25" s="3697"/>
      <c r="Z25" s="1353" t="str">
        <f>Q25</f>
        <v>毗邻道路的类型与等级</v>
      </c>
      <c r="AA25" s="1350">
        <f t="shared" si="3"/>
        <v>1</v>
      </c>
      <c r="AB25" s="1350">
        <f t="shared" si="4"/>
        <v>1</v>
      </c>
      <c r="AC25" s="1959">
        <f t="shared" si="5"/>
        <v>1</v>
      </c>
    </row>
    <row r="26" spans="1:29" ht="15">
      <c r="A26" s="356"/>
      <c r="B26" s="578"/>
      <c r="C26" s="580"/>
      <c r="D26" s="384"/>
      <c r="E26" s="563"/>
      <c r="F26" s="384"/>
      <c r="G26" s="580"/>
      <c r="H26" s="384"/>
      <c r="I26" s="563"/>
      <c r="J26" s="384"/>
      <c r="K26" s="562"/>
      <c r="L26" s="2719"/>
      <c r="M26" s="2713"/>
      <c r="N26" s="2713"/>
      <c r="O26" s="2713"/>
      <c r="P26" s="3704"/>
      <c r="Q26" s="1349"/>
      <c r="R26" s="703"/>
      <c r="S26" s="704"/>
      <c r="T26" s="703"/>
      <c r="U26" s="704"/>
      <c r="V26" s="703"/>
      <c r="W26" s="704"/>
      <c r="X26" s="1352"/>
      <c r="Y26" s="3697"/>
      <c r="Z26" s="1353"/>
      <c r="AA26" s="1350">
        <v>1</v>
      </c>
      <c r="AB26" s="1350">
        <v>1</v>
      </c>
      <c r="AC26" s="1959">
        <v>1</v>
      </c>
    </row>
    <row r="27" spans="1:29" ht="15">
      <c r="A27" s="377"/>
      <c r="B27" s="578" t="s">
        <v>1783</v>
      </c>
      <c r="C27" s="580"/>
      <c r="D27" s="384">
        <v>100</v>
      </c>
      <c r="E27" s="563"/>
      <c r="F27" s="384">
        <f>SUMIF(89:89,E27,90:90)-SUMIF(89:89,C27,90:90)+100</f>
        <v>100</v>
      </c>
      <c r="G27" s="580"/>
      <c r="H27" s="384">
        <f>SUMIF(89:89,G27,90:90)-SUMIF(89:89,C27,90:90)+100</f>
        <v>100</v>
      </c>
      <c r="I27" s="563"/>
      <c r="J27" s="384">
        <f>SUMIF(89:89,I27,90:90)-SUMIF(89:89,C27,90:90)+100</f>
        <v>100</v>
      </c>
      <c r="K27" s="559"/>
      <c r="L27" s="2719"/>
      <c r="M27" s="2713"/>
      <c r="N27" s="2713"/>
      <c r="O27" s="2713"/>
      <c r="P27" s="3704"/>
      <c r="Q27" s="1349" t="str">
        <f t="shared" ref="Q27:Q47" si="11">B27</f>
        <v>楼层</v>
      </c>
      <c r="R27" s="703" t="s">
        <v>14</v>
      </c>
      <c r="S27" s="704">
        <f>F27</f>
        <v>100</v>
      </c>
      <c r="T27" s="703" t="s">
        <v>14</v>
      </c>
      <c r="U27" s="704">
        <f>H27</f>
        <v>100</v>
      </c>
      <c r="V27" s="703" t="s">
        <v>14</v>
      </c>
      <c r="W27" s="704">
        <f>J27</f>
        <v>100</v>
      </c>
      <c r="X27" s="1352"/>
      <c r="Y27" s="3697"/>
      <c r="Z27" s="1353" t="str">
        <f>Q27</f>
        <v>楼层</v>
      </c>
      <c r="AA27" s="1350">
        <f t="shared" si="3"/>
        <v>1</v>
      </c>
      <c r="AB27" s="1350">
        <f t="shared" si="4"/>
        <v>1</v>
      </c>
      <c r="AC27" s="1959">
        <f t="shared" si="5"/>
        <v>1</v>
      </c>
    </row>
    <row r="28" spans="1:29" s="107" customFormat="1" ht="15">
      <c r="A28" s="380"/>
      <c r="B28" s="577" t="s">
        <v>1816</v>
      </c>
      <c r="C28" s="1962"/>
      <c r="D28" s="411">
        <v>100</v>
      </c>
      <c r="E28" s="1953"/>
      <c r="F28" s="411">
        <f>SUMIF(91:91,E28,92:92)-SUMIF(91:91,C28,92:92)+100</f>
        <v>100</v>
      </c>
      <c r="G28" s="1962"/>
      <c r="H28" s="411">
        <f>SUMIF(91:91,G28,92:92)-SUMIF(91:91,C28,92:92)+100</f>
        <v>100</v>
      </c>
      <c r="I28" s="1953"/>
      <c r="J28" s="411">
        <f>SUMIF(91:91,I28,92:92)-SUMIF(91:91,C28,92:92)+100</f>
        <v>100</v>
      </c>
      <c r="K28" s="559"/>
      <c r="L28" s="2714"/>
      <c r="M28" s="2715"/>
      <c r="N28" s="2715"/>
      <c r="O28" s="2715"/>
      <c r="P28" s="3704"/>
      <c r="Q28" s="1340" t="str">
        <f t="shared" si="11"/>
        <v>朝向</v>
      </c>
      <c r="R28" s="699" t="s">
        <v>14</v>
      </c>
      <c r="S28" s="700">
        <f>F28</f>
        <v>100</v>
      </c>
      <c r="T28" s="699" t="s">
        <v>14</v>
      </c>
      <c r="U28" s="700">
        <f>H28</f>
        <v>100</v>
      </c>
      <c r="V28" s="699" t="s">
        <v>14</v>
      </c>
      <c r="W28" s="700">
        <f>J28</f>
        <v>100</v>
      </c>
      <c r="X28" s="701"/>
      <c r="Y28" s="3697"/>
      <c r="Z28" s="52" t="str">
        <f>Q28</f>
        <v>朝向</v>
      </c>
      <c r="AA28" s="1350">
        <f>D28/F28</f>
        <v>1</v>
      </c>
      <c r="AB28" s="1350">
        <f>D28/H28</f>
        <v>1</v>
      </c>
      <c r="AC28" s="1959">
        <f>D28/J28</f>
        <v>1</v>
      </c>
    </row>
    <row r="29" spans="1:29" ht="15">
      <c r="A29" s="377"/>
      <c r="B29" s="1963">
        <v>111</v>
      </c>
      <c r="C29" s="1905"/>
      <c r="D29" s="384">
        <v>100</v>
      </c>
      <c r="E29" s="381"/>
      <c r="F29" s="384">
        <f>SUMIF(93:93,E29,94:94)-SUMIF(93:93,C29,94:94)+100</f>
        <v>100</v>
      </c>
      <c r="G29" s="1957"/>
      <c r="H29" s="384">
        <f>SUMIF(93:93,G29,94:94)-SUMIF(93:93,C29,94:94)+100</f>
        <v>100</v>
      </c>
      <c r="I29" s="381"/>
      <c r="J29" s="384">
        <f>SUMIF(93:93,I29,94:94)-SUMIF(93:93,C29,94:94)+100</f>
        <v>100</v>
      </c>
      <c r="K29" s="560"/>
      <c r="L29" s="2719"/>
      <c r="M29" s="2713"/>
      <c r="N29" s="2713"/>
      <c r="O29" s="2713"/>
      <c r="P29" s="3704"/>
      <c r="Q29" s="1349">
        <f t="shared" si="11"/>
        <v>111</v>
      </c>
      <c r="R29" s="703" t="s">
        <v>14</v>
      </c>
      <c r="S29" s="704">
        <f t="shared" ref="S29:S47" si="12">F29</f>
        <v>100</v>
      </c>
      <c r="T29" s="703" t="s">
        <v>14</v>
      </c>
      <c r="U29" s="704">
        <f t="shared" ref="U29:U47" si="13">H29</f>
        <v>100</v>
      </c>
      <c r="V29" s="703" t="s">
        <v>14</v>
      </c>
      <c r="W29" s="704">
        <f t="shared" ref="W29:W47" si="14">J29</f>
        <v>100</v>
      </c>
      <c r="X29" s="1352"/>
      <c r="Y29" s="3697"/>
      <c r="Z29" s="1353">
        <f t="shared" ref="Z29:Z47" si="15">Q29</f>
        <v>111</v>
      </c>
      <c r="AA29" s="1350">
        <f t="shared" si="3"/>
        <v>1</v>
      </c>
      <c r="AB29" s="1350">
        <f t="shared" si="4"/>
        <v>1</v>
      </c>
      <c r="AC29" s="1959">
        <f t="shared" si="5"/>
        <v>1</v>
      </c>
    </row>
    <row r="30" spans="1:29" ht="15">
      <c r="A30" s="377"/>
      <c r="B30" s="1963">
        <v>111</v>
      </c>
      <c r="C30" s="1905"/>
      <c r="D30" s="384">
        <v>100</v>
      </c>
      <c r="E30" s="381"/>
      <c r="F30" s="384">
        <f>SUMIF(95:95,E30,96:96)-SUMIF(95:95,C30,96:96)+100</f>
        <v>100</v>
      </c>
      <c r="G30" s="1957"/>
      <c r="H30" s="384">
        <f>SUMIF(95:95,G30,96:96)-SUMIF(95:95,C30,96:96)+100</f>
        <v>100</v>
      </c>
      <c r="I30" s="381"/>
      <c r="J30" s="384">
        <f>SUMIF(95:95,I30,96:96)-SUMIF(95:95,C30,96:96)+100</f>
        <v>100</v>
      </c>
      <c r="K30" s="560"/>
      <c r="L30" s="2719"/>
      <c r="M30" s="2713"/>
      <c r="N30" s="2713"/>
      <c r="O30" s="2713"/>
      <c r="P30" s="3704"/>
      <c r="Q30" s="1349">
        <f t="shared" si="11"/>
        <v>111</v>
      </c>
      <c r="R30" s="703" t="s">
        <v>14</v>
      </c>
      <c r="S30" s="704">
        <f t="shared" si="12"/>
        <v>100</v>
      </c>
      <c r="T30" s="703" t="s">
        <v>14</v>
      </c>
      <c r="U30" s="704">
        <f t="shared" si="13"/>
        <v>100</v>
      </c>
      <c r="V30" s="703" t="s">
        <v>14</v>
      </c>
      <c r="W30" s="704">
        <f t="shared" si="14"/>
        <v>100</v>
      </c>
      <c r="X30" s="1352"/>
      <c r="Y30" s="3697"/>
      <c r="Z30" s="1353">
        <f t="shared" si="15"/>
        <v>111</v>
      </c>
      <c r="AA30" s="1350">
        <f t="shared" si="3"/>
        <v>1</v>
      </c>
      <c r="AB30" s="1350">
        <f t="shared" si="4"/>
        <v>1</v>
      </c>
      <c r="AC30" s="1959">
        <f t="shared" si="5"/>
        <v>1</v>
      </c>
    </row>
    <row r="31" spans="1:29" ht="15">
      <c r="A31" s="377"/>
      <c r="B31" s="1963">
        <v>111</v>
      </c>
      <c r="C31" s="1905"/>
      <c r="D31" s="384">
        <v>100</v>
      </c>
      <c r="E31" s="381"/>
      <c r="F31" s="384">
        <f>SUMIF(97:97,E31,98:98)-SUMIF(97:97,C31,98:98)+100</f>
        <v>100</v>
      </c>
      <c r="G31" s="1957"/>
      <c r="H31" s="384">
        <f>SUMIF(97:97,G31,98:98)-SUMIF(97:97,C31,98:98)+100</f>
        <v>100</v>
      </c>
      <c r="I31" s="381"/>
      <c r="J31" s="384">
        <f>SUMIF(97:97,I31,98:98)-SUMIF(97:97,C31,98:98)+100</f>
        <v>100</v>
      </c>
      <c r="K31" s="560"/>
      <c r="L31" s="2719"/>
      <c r="M31" s="2713"/>
      <c r="N31" s="2713"/>
      <c r="O31" s="2713"/>
      <c r="P31" s="3704"/>
      <c r="Q31" s="1349">
        <f t="shared" si="11"/>
        <v>111</v>
      </c>
      <c r="R31" s="703" t="s">
        <v>14</v>
      </c>
      <c r="S31" s="704">
        <f t="shared" si="12"/>
        <v>100</v>
      </c>
      <c r="T31" s="703" t="s">
        <v>14</v>
      </c>
      <c r="U31" s="704">
        <f t="shared" si="13"/>
        <v>100</v>
      </c>
      <c r="V31" s="703" t="s">
        <v>14</v>
      </c>
      <c r="W31" s="704">
        <f t="shared" si="14"/>
        <v>100</v>
      </c>
      <c r="X31" s="1352"/>
      <c r="Y31" s="3697"/>
      <c r="Z31" s="1353">
        <f t="shared" si="15"/>
        <v>111</v>
      </c>
      <c r="AA31" s="1350">
        <f t="shared" si="3"/>
        <v>1</v>
      </c>
      <c r="AB31" s="1350">
        <f t="shared" si="4"/>
        <v>1</v>
      </c>
      <c r="AC31" s="1959">
        <f t="shared" si="5"/>
        <v>1</v>
      </c>
    </row>
    <row r="32" spans="1:29" ht="15.6" thickBot="1">
      <c r="A32" s="385"/>
      <c r="B32" s="581">
        <v>111</v>
      </c>
      <c r="C32" s="1906"/>
      <c r="D32" s="387">
        <v>100</v>
      </c>
      <c r="E32" s="574"/>
      <c r="F32" s="387">
        <f>SUMIF(99:99,E32,100:100)-SUMIF(99:99,C32,100:100)+100</f>
        <v>100</v>
      </c>
      <c r="G32" s="1957"/>
      <c r="H32" s="387">
        <f>SUMIF(99:99,G32,100:100)-SUMIF(99:99,C32,100:100)+100</f>
        <v>100</v>
      </c>
      <c r="I32" s="381"/>
      <c r="J32" s="387">
        <f>SUMIF(99:99,I32,100:100)-SUMIF(99:99,C32,100:100)+100</f>
        <v>100</v>
      </c>
      <c r="K32" s="560"/>
      <c r="L32" s="2719"/>
      <c r="M32" s="2713"/>
      <c r="N32" s="2713"/>
      <c r="O32" s="2713"/>
      <c r="P32" s="3704"/>
      <c r="Q32" s="1349">
        <f t="shared" si="11"/>
        <v>111</v>
      </c>
      <c r="R32" s="703" t="s">
        <v>14</v>
      </c>
      <c r="S32" s="704">
        <f t="shared" si="12"/>
        <v>100</v>
      </c>
      <c r="T32" s="703" t="s">
        <v>14</v>
      </c>
      <c r="U32" s="704">
        <f t="shared" si="13"/>
        <v>100</v>
      </c>
      <c r="V32" s="703" t="s">
        <v>14</v>
      </c>
      <c r="W32" s="704">
        <f t="shared" si="14"/>
        <v>100</v>
      </c>
      <c r="X32" s="1352"/>
      <c r="Y32" s="3697"/>
      <c r="Z32" s="1353">
        <f t="shared" si="15"/>
        <v>111</v>
      </c>
      <c r="AA32" s="1350">
        <f t="shared" si="3"/>
        <v>1</v>
      </c>
      <c r="AB32" s="1350">
        <f t="shared" si="4"/>
        <v>1</v>
      </c>
      <c r="AC32" s="1959">
        <f t="shared" si="5"/>
        <v>1</v>
      </c>
    </row>
    <row r="33" spans="1:29" ht="15">
      <c r="A33" s="389" t="s">
        <v>1694</v>
      </c>
      <c r="B33" s="63" t="s">
        <v>1817</v>
      </c>
      <c r="C33" s="1964"/>
      <c r="D33" s="416">
        <v>100</v>
      </c>
      <c r="E33" s="1964"/>
      <c r="F33" s="410">
        <f>SUMIF(101:101,E33,102:102)-SUMIF(101:101,C33,102:102)+100</f>
        <v>100</v>
      </c>
      <c r="G33" s="1964"/>
      <c r="H33" s="384">
        <f>SUMIF(101:101,G33,102:102)-SUMIF(101:101,C33,102:102)+100</f>
        <v>100</v>
      </c>
      <c r="I33" s="1964"/>
      <c r="J33" s="416">
        <f>SUMIF(101:101,I33,102:102)-SUMIF(101:101,C33,102:102)+100</f>
        <v>100</v>
      </c>
      <c r="K33" s="559"/>
      <c r="L33" s="2719"/>
      <c r="M33" s="2713"/>
      <c r="N33" s="2713"/>
      <c r="O33" s="2713"/>
      <c r="P33" s="3698" t="s">
        <v>1696</v>
      </c>
      <c r="Q33" s="1349" t="str">
        <f t="shared" si="11"/>
        <v>建筑类型</v>
      </c>
      <c r="R33" s="703" t="s">
        <v>14</v>
      </c>
      <c r="S33" s="704">
        <f t="shared" si="12"/>
        <v>100</v>
      </c>
      <c r="T33" s="703" t="s">
        <v>14</v>
      </c>
      <c r="U33" s="704">
        <f t="shared" si="13"/>
        <v>100</v>
      </c>
      <c r="V33" s="703" t="s">
        <v>14</v>
      </c>
      <c r="W33" s="704">
        <f t="shared" si="14"/>
        <v>100</v>
      </c>
      <c r="X33" s="1352"/>
      <c r="Y33" s="3701" t="s">
        <v>1696</v>
      </c>
      <c r="Z33" s="1353" t="str">
        <f t="shared" si="15"/>
        <v>建筑类型</v>
      </c>
      <c r="AA33" s="1350">
        <f t="shared" si="3"/>
        <v>1</v>
      </c>
      <c r="AB33" s="1350">
        <f t="shared" si="4"/>
        <v>1</v>
      </c>
      <c r="AC33" s="1959">
        <f t="shared" si="5"/>
        <v>1</v>
      </c>
    </row>
    <row r="34" spans="1:29" s="420" customFormat="1" ht="15">
      <c r="A34" s="417"/>
      <c r="B34" s="373" t="s">
        <v>1697</v>
      </c>
      <c r="C34" s="418"/>
      <c r="D34" s="125">
        <v>100</v>
      </c>
      <c r="E34" s="379"/>
      <c r="F34" s="374" t="e">
        <f>LOOKUP(E34,104:104,105:105)-LOOKUP(C34,104:104,105:105)+100</f>
        <v>#N/A</v>
      </c>
      <c r="G34" s="378"/>
      <c r="H34" s="125" t="e">
        <f>LOOKUP(G34,104:104,105:105)-LOOKUP(C34,104:104,105:105)+100</f>
        <v>#N/A</v>
      </c>
      <c r="I34" s="378"/>
      <c r="J34" s="125" t="e">
        <f>LOOKUP(I34,104:104,105:105)-LOOKUP(C34,104:104,105:105)+100</f>
        <v>#N/A</v>
      </c>
      <c r="K34" s="560"/>
      <c r="L34" s="2718"/>
      <c r="M34" s="2720"/>
      <c r="N34" s="2720"/>
      <c r="O34" s="2720"/>
      <c r="P34" s="3699"/>
      <c r="Q34" s="705" t="str">
        <f t="shared" si="11"/>
        <v>项目建筑规模</v>
      </c>
      <c r="R34" s="706" t="s">
        <v>14</v>
      </c>
      <c r="S34" s="707" t="e">
        <f t="shared" si="12"/>
        <v>#N/A</v>
      </c>
      <c r="T34" s="706" t="s">
        <v>14</v>
      </c>
      <c r="U34" s="707" t="e">
        <f t="shared" si="13"/>
        <v>#N/A</v>
      </c>
      <c r="V34" s="706" t="s">
        <v>14</v>
      </c>
      <c r="W34" s="707" t="e">
        <f t="shared" si="14"/>
        <v>#N/A</v>
      </c>
      <c r="X34" s="708"/>
      <c r="Y34" s="3701"/>
      <c r="Z34" s="709" t="str">
        <f t="shared" si="15"/>
        <v>项目建筑规模</v>
      </c>
      <c r="AA34" s="1350" t="e">
        <f t="shared" si="3"/>
        <v>#N/A</v>
      </c>
      <c r="AB34" s="1350" t="e">
        <f t="shared" si="4"/>
        <v>#N/A</v>
      </c>
      <c r="AC34" s="1959" t="e">
        <f t="shared" si="5"/>
        <v>#N/A</v>
      </c>
    </row>
    <row r="35" spans="1:29" ht="15">
      <c r="A35" s="421"/>
      <c r="B35" s="373" t="s">
        <v>1698</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719"/>
      <c r="M35" s="2713"/>
      <c r="N35" s="2713"/>
      <c r="O35" s="2713"/>
      <c r="P35" s="3699"/>
      <c r="Q35" s="1349" t="str">
        <f t="shared" si="11"/>
        <v>建筑结构</v>
      </c>
      <c r="R35" s="703" t="s">
        <v>14</v>
      </c>
      <c r="S35" s="704">
        <f t="shared" si="12"/>
        <v>100</v>
      </c>
      <c r="T35" s="703" t="s">
        <v>14</v>
      </c>
      <c r="U35" s="704">
        <f t="shared" si="13"/>
        <v>100</v>
      </c>
      <c r="V35" s="703" t="s">
        <v>14</v>
      </c>
      <c r="W35" s="704">
        <f t="shared" si="14"/>
        <v>100</v>
      </c>
      <c r="X35" s="1352"/>
      <c r="Y35" s="3701"/>
      <c r="Z35" s="1353" t="str">
        <f t="shared" si="15"/>
        <v>建筑结构</v>
      </c>
      <c r="AA35" s="1350">
        <f t="shared" si="3"/>
        <v>1</v>
      </c>
      <c r="AB35" s="1350">
        <f t="shared" si="4"/>
        <v>1</v>
      </c>
      <c r="AC35" s="1959">
        <f t="shared" si="5"/>
        <v>1</v>
      </c>
    </row>
    <row r="36" spans="1:29" ht="15">
      <c r="A36" s="421"/>
      <c r="B36" s="373" t="s">
        <v>1785</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719"/>
      <c r="M36" s="2713"/>
      <c r="N36" s="2713"/>
      <c r="O36" s="2713"/>
      <c r="P36" s="3699"/>
      <c r="Q36" s="1349" t="str">
        <f t="shared" si="11"/>
        <v>公共部分装修</v>
      </c>
      <c r="R36" s="703" t="s">
        <v>14</v>
      </c>
      <c r="S36" s="704">
        <f t="shared" si="12"/>
        <v>100</v>
      </c>
      <c r="T36" s="703" t="s">
        <v>14</v>
      </c>
      <c r="U36" s="704">
        <f t="shared" si="13"/>
        <v>100</v>
      </c>
      <c r="V36" s="703" t="s">
        <v>14</v>
      </c>
      <c r="W36" s="704">
        <f t="shared" si="14"/>
        <v>100</v>
      </c>
      <c r="X36" s="1352"/>
      <c r="Y36" s="3701"/>
      <c r="Z36" s="1353" t="str">
        <f t="shared" si="15"/>
        <v>公共部分装修</v>
      </c>
      <c r="AA36" s="1350">
        <f t="shared" si="3"/>
        <v>1</v>
      </c>
      <c r="AB36" s="1350">
        <f t="shared" si="4"/>
        <v>1</v>
      </c>
      <c r="AC36" s="1959">
        <f t="shared" si="5"/>
        <v>1</v>
      </c>
    </row>
    <row r="37" spans="1:29" ht="15">
      <c r="A37" s="421"/>
      <c r="B37" s="373" t="s">
        <v>1786</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719"/>
      <c r="M37" s="2713"/>
      <c r="N37" s="2713"/>
      <c r="O37" s="2713"/>
      <c r="P37" s="3699"/>
      <c r="Q37" s="1349" t="str">
        <f t="shared" si="11"/>
        <v>成新度</v>
      </c>
      <c r="R37" s="703" t="s">
        <v>14</v>
      </c>
      <c r="S37" s="704" t="e">
        <f t="shared" si="12"/>
        <v>#N/A</v>
      </c>
      <c r="T37" s="703" t="s">
        <v>14</v>
      </c>
      <c r="U37" s="704" t="e">
        <f t="shared" si="13"/>
        <v>#N/A</v>
      </c>
      <c r="V37" s="703" t="s">
        <v>14</v>
      </c>
      <c r="W37" s="704" t="e">
        <f t="shared" si="14"/>
        <v>#N/A</v>
      </c>
      <c r="X37" s="1352"/>
      <c r="Y37" s="3701"/>
      <c r="Z37" s="1353" t="str">
        <f t="shared" si="15"/>
        <v>成新度</v>
      </c>
      <c r="AA37" s="1350" t="e">
        <f t="shared" si="3"/>
        <v>#N/A</v>
      </c>
      <c r="AB37" s="1350" t="e">
        <f t="shared" si="4"/>
        <v>#N/A</v>
      </c>
      <c r="AC37" s="1959" t="e">
        <f t="shared" si="5"/>
        <v>#N/A</v>
      </c>
    </row>
    <row r="38" spans="1:29" s="107" customFormat="1" ht="15">
      <c r="A38" s="422"/>
      <c r="B38" s="373" t="s">
        <v>1818</v>
      </c>
      <c r="C38" s="409"/>
      <c r="D38" s="125">
        <v>100</v>
      </c>
      <c r="E38" s="409"/>
      <c r="F38" s="410">
        <f>SUMIF(113:113,E38,114:114)-SUMIF(113:113,C38,114:114)+100</f>
        <v>100</v>
      </c>
      <c r="G38" s="409"/>
      <c r="H38" s="384">
        <f>SUMIF(113:113,G38,114:114)-SUMIF(113:113,C38,114:114)+100</f>
        <v>100</v>
      </c>
      <c r="I38" s="409"/>
      <c r="J38" s="384">
        <f>SUMIF(113:113,I38,114:114)-SUMIF(113:113,C38,114:114)+100</f>
        <v>100</v>
      </c>
      <c r="K38" s="559"/>
      <c r="L38" s="2714"/>
      <c r="M38" s="2715"/>
      <c r="N38" s="2715"/>
      <c r="O38" s="2715"/>
      <c r="P38" s="3699"/>
      <c r="Q38" s="1340" t="str">
        <f t="shared" si="11"/>
        <v>写字楼等级</v>
      </c>
      <c r="R38" s="699" t="s">
        <v>14</v>
      </c>
      <c r="S38" s="700">
        <f t="shared" si="12"/>
        <v>100</v>
      </c>
      <c r="T38" s="699" t="s">
        <v>14</v>
      </c>
      <c r="U38" s="700">
        <f t="shared" si="13"/>
        <v>100</v>
      </c>
      <c r="V38" s="699" t="s">
        <v>14</v>
      </c>
      <c r="W38" s="700">
        <f t="shared" si="14"/>
        <v>100</v>
      </c>
      <c r="X38" s="701"/>
      <c r="Y38" s="3701"/>
      <c r="Z38" s="52" t="str">
        <f t="shared" si="15"/>
        <v>写字楼等级</v>
      </c>
      <c r="AA38" s="702">
        <f t="shared" si="3"/>
        <v>1</v>
      </c>
      <c r="AB38" s="702">
        <f t="shared" si="4"/>
        <v>1</v>
      </c>
      <c r="AC38" s="1956">
        <f t="shared" si="5"/>
        <v>1</v>
      </c>
    </row>
    <row r="39" spans="1:29" ht="15">
      <c r="A39" s="421"/>
      <c r="B39" s="373" t="s">
        <v>1819</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719"/>
      <c r="M39" s="2713"/>
      <c r="N39" s="2713"/>
      <c r="O39" s="2713"/>
      <c r="P39" s="3699" t="s">
        <v>1696</v>
      </c>
      <c r="Q39" s="1349" t="str">
        <f t="shared" si="11"/>
        <v>物业管理</v>
      </c>
      <c r="R39" s="703" t="s">
        <v>14</v>
      </c>
      <c r="S39" s="704">
        <f t="shared" si="12"/>
        <v>100</v>
      </c>
      <c r="T39" s="703" t="s">
        <v>14</v>
      </c>
      <c r="U39" s="704">
        <f t="shared" si="13"/>
        <v>100</v>
      </c>
      <c r="V39" s="703" t="s">
        <v>14</v>
      </c>
      <c r="W39" s="704">
        <f t="shared" si="14"/>
        <v>100</v>
      </c>
      <c r="X39" s="1352"/>
      <c r="Y39" s="3701" t="s">
        <v>1696</v>
      </c>
      <c r="Z39" s="1353" t="str">
        <f t="shared" si="15"/>
        <v>物业管理</v>
      </c>
      <c r="AA39" s="1350">
        <f t="shared" si="3"/>
        <v>1</v>
      </c>
      <c r="AB39" s="1350">
        <f t="shared" si="4"/>
        <v>1</v>
      </c>
      <c r="AC39" s="1959">
        <f t="shared" si="5"/>
        <v>1</v>
      </c>
    </row>
    <row r="40" spans="1:29" ht="15">
      <c r="A40" s="421"/>
      <c r="B40" s="373" t="s">
        <v>1787</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719"/>
      <c r="M40" s="2713"/>
      <c r="N40" s="2713"/>
      <c r="O40" s="2713"/>
      <c r="P40" s="3699"/>
      <c r="Q40" s="1349" t="str">
        <f t="shared" si="11"/>
        <v>市政基础设施</v>
      </c>
      <c r="R40" s="703" t="s">
        <v>14</v>
      </c>
      <c r="S40" s="704">
        <f t="shared" si="12"/>
        <v>100</v>
      </c>
      <c r="T40" s="703" t="s">
        <v>14</v>
      </c>
      <c r="U40" s="704">
        <f t="shared" si="13"/>
        <v>100</v>
      </c>
      <c r="V40" s="703" t="s">
        <v>14</v>
      </c>
      <c r="W40" s="704">
        <f t="shared" si="14"/>
        <v>100</v>
      </c>
      <c r="X40" s="1352"/>
      <c r="Y40" s="3701"/>
      <c r="Z40" s="1353" t="str">
        <f t="shared" si="15"/>
        <v>市政基础设施</v>
      </c>
      <c r="AA40" s="1350">
        <f t="shared" si="3"/>
        <v>1</v>
      </c>
      <c r="AB40" s="1350">
        <f t="shared" si="4"/>
        <v>1</v>
      </c>
      <c r="AC40" s="1959">
        <f t="shared" si="5"/>
        <v>1</v>
      </c>
    </row>
    <row r="41" spans="1:29" ht="15">
      <c r="A41" s="421"/>
      <c r="B41" s="373" t="s">
        <v>1789</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719"/>
      <c r="M41" s="2713"/>
      <c r="N41" s="2713"/>
      <c r="O41" s="2713"/>
      <c r="P41" s="3699"/>
      <c r="Q41" s="1349" t="str">
        <f t="shared" si="11"/>
        <v>层高</v>
      </c>
      <c r="R41" s="703" t="s">
        <v>14</v>
      </c>
      <c r="S41" s="704">
        <f t="shared" si="12"/>
        <v>100</v>
      </c>
      <c r="T41" s="703" t="s">
        <v>14</v>
      </c>
      <c r="U41" s="704">
        <f t="shared" si="13"/>
        <v>100</v>
      </c>
      <c r="V41" s="703" t="s">
        <v>14</v>
      </c>
      <c r="W41" s="704">
        <f t="shared" si="14"/>
        <v>100</v>
      </c>
      <c r="X41" s="1352"/>
      <c r="Y41" s="3701"/>
      <c r="Z41" s="1353" t="str">
        <f t="shared" si="15"/>
        <v>层高</v>
      </c>
      <c r="AA41" s="1350">
        <f t="shared" si="3"/>
        <v>1</v>
      </c>
      <c r="AB41" s="1350">
        <f t="shared" si="4"/>
        <v>1</v>
      </c>
      <c r="AC41" s="1959">
        <f t="shared" si="5"/>
        <v>1</v>
      </c>
    </row>
    <row r="42" spans="1:29" s="420" customFormat="1" ht="15">
      <c r="A42" s="417"/>
      <c r="B42" s="1351"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8"/>
      <c r="M42" s="2720"/>
      <c r="N42" s="2720"/>
      <c r="O42" s="2720"/>
      <c r="P42" s="3699"/>
      <c r="Q42" s="705" t="str">
        <f t="shared" si="11"/>
        <v>单套建筑面积</v>
      </c>
      <c r="R42" s="706" t="s">
        <v>14</v>
      </c>
      <c r="S42" s="707">
        <f t="shared" si="12"/>
        <v>100</v>
      </c>
      <c r="T42" s="706" t="s">
        <v>14</v>
      </c>
      <c r="U42" s="707">
        <f t="shared" si="13"/>
        <v>100</v>
      </c>
      <c r="V42" s="706" t="s">
        <v>14</v>
      </c>
      <c r="W42" s="707">
        <f t="shared" si="14"/>
        <v>100</v>
      </c>
      <c r="X42" s="708"/>
      <c r="Y42" s="3701"/>
      <c r="Z42" s="709" t="str">
        <f t="shared" si="15"/>
        <v>单套建筑面积</v>
      </c>
      <c r="AA42" s="1350">
        <f t="shared" si="3"/>
        <v>1</v>
      </c>
      <c r="AB42" s="1350">
        <f t="shared" si="4"/>
        <v>1</v>
      </c>
      <c r="AC42" s="1959">
        <f t="shared" si="5"/>
        <v>1</v>
      </c>
    </row>
    <row r="43" spans="1:29" ht="15">
      <c r="A43" s="421"/>
      <c r="B43" s="373" t="s">
        <v>1792</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719"/>
      <c r="M43" s="2713"/>
      <c r="N43" s="2713"/>
      <c r="O43" s="2713"/>
      <c r="P43" s="3699"/>
      <c r="Q43" s="1349" t="str">
        <f t="shared" si="11"/>
        <v>内部装修</v>
      </c>
      <c r="R43" s="703" t="s">
        <v>14</v>
      </c>
      <c r="S43" s="704">
        <f t="shared" si="12"/>
        <v>100</v>
      </c>
      <c r="T43" s="703" t="s">
        <v>14</v>
      </c>
      <c r="U43" s="704">
        <f t="shared" si="13"/>
        <v>100</v>
      </c>
      <c r="V43" s="703" t="s">
        <v>14</v>
      </c>
      <c r="W43" s="704">
        <f t="shared" si="14"/>
        <v>100</v>
      </c>
      <c r="X43" s="1352"/>
      <c r="Y43" s="3701"/>
      <c r="Z43" s="1353" t="str">
        <f t="shared" si="15"/>
        <v>内部装修</v>
      </c>
      <c r="AA43" s="1350">
        <f t="shared" si="3"/>
        <v>1</v>
      </c>
      <c r="AB43" s="1350">
        <f t="shared" si="4"/>
        <v>1</v>
      </c>
      <c r="AC43" s="1959">
        <f t="shared" si="5"/>
        <v>1</v>
      </c>
    </row>
    <row r="44" spans="1:29" ht="28.8">
      <c r="A44" s="421"/>
      <c r="B44" s="373" t="s">
        <v>1707</v>
      </c>
      <c r="C44" s="409"/>
      <c r="D44" s="384">
        <v>100</v>
      </c>
      <c r="E44" s="1903"/>
      <c r="F44" s="410">
        <f>SUMIF(125:125,E44,126:126)-SUMIF(125:125,C44,126:126)+100</f>
        <v>100</v>
      </c>
      <c r="G44" s="1903"/>
      <c r="H44" s="384">
        <f>SUMIF(125:125,G44,126:126)-SUMIF(125:125,C44,126:126)+100</f>
        <v>100</v>
      </c>
      <c r="I44" s="1903"/>
      <c r="J44" s="384">
        <f>SUMIF(125:125,I44,126:126)-SUMIF(125:125,C44,126:126)+100</f>
        <v>100</v>
      </c>
      <c r="K44" s="559"/>
      <c r="L44" s="2719"/>
      <c r="M44" s="2713"/>
      <c r="N44" s="2713"/>
      <c r="O44" s="2713"/>
      <c r="P44" s="3699"/>
      <c r="Q44" s="1349" t="str">
        <f t="shared" si="11"/>
        <v>内部装修维护情况</v>
      </c>
      <c r="R44" s="703" t="s">
        <v>14</v>
      </c>
      <c r="S44" s="704">
        <f t="shared" si="12"/>
        <v>100</v>
      </c>
      <c r="T44" s="703" t="s">
        <v>14</v>
      </c>
      <c r="U44" s="704">
        <f t="shared" si="13"/>
        <v>100</v>
      </c>
      <c r="V44" s="703" t="s">
        <v>14</v>
      </c>
      <c r="W44" s="704">
        <f t="shared" si="14"/>
        <v>100</v>
      </c>
      <c r="X44" s="1352"/>
      <c r="Y44" s="3701"/>
      <c r="Z44" s="1353" t="str">
        <f t="shared" si="15"/>
        <v>内部装修维护情况</v>
      </c>
      <c r="AA44" s="1350">
        <f t="shared" si="3"/>
        <v>1</v>
      </c>
      <c r="AB44" s="1350">
        <f t="shared" si="4"/>
        <v>1</v>
      </c>
      <c r="AC44" s="1959">
        <f t="shared" si="5"/>
        <v>1</v>
      </c>
    </row>
    <row r="45" spans="1:29" s="107" customFormat="1" ht="15">
      <c r="A45" s="422"/>
      <c r="B45" s="1130">
        <v>111</v>
      </c>
      <c r="C45" s="418"/>
      <c r="D45" s="125">
        <v>100</v>
      </c>
      <c r="E45" s="381"/>
      <c r="F45" s="374">
        <f>SUMIF(127:127,E45,128:128)-SUMIF(127:127,C45,128:128)+100</f>
        <v>100</v>
      </c>
      <c r="G45" s="381"/>
      <c r="H45" s="125">
        <f>SUMIF(127:127,G45,128:128)-SUMIF(127:127,C45,128:128)+100</f>
        <v>100</v>
      </c>
      <c r="I45" s="381"/>
      <c r="J45" s="125">
        <f>SUMIF(127:127,I45,128:128)-SUMIF(127:127,C45,128:128)+100</f>
        <v>100</v>
      </c>
      <c r="K45" s="560"/>
      <c r="L45" s="2714"/>
      <c r="M45" s="2715"/>
      <c r="N45" s="2715"/>
      <c r="O45" s="2715"/>
      <c r="P45" s="3699"/>
      <c r="Q45" s="1340">
        <f t="shared" si="11"/>
        <v>111</v>
      </c>
      <c r="R45" s="699" t="s">
        <v>14</v>
      </c>
      <c r="S45" s="700">
        <f t="shared" si="12"/>
        <v>100</v>
      </c>
      <c r="T45" s="699" t="s">
        <v>14</v>
      </c>
      <c r="U45" s="700">
        <f t="shared" si="13"/>
        <v>100</v>
      </c>
      <c r="V45" s="699" t="s">
        <v>14</v>
      </c>
      <c r="W45" s="700">
        <f t="shared" si="14"/>
        <v>100</v>
      </c>
      <c r="X45" s="701"/>
      <c r="Y45" s="3701"/>
      <c r="Z45" s="52">
        <f t="shared" si="15"/>
        <v>111</v>
      </c>
      <c r="AA45" s="702">
        <f t="shared" si="3"/>
        <v>1</v>
      </c>
      <c r="AB45" s="702">
        <f t="shared" si="4"/>
        <v>1</v>
      </c>
      <c r="AC45" s="1956">
        <f t="shared" si="5"/>
        <v>1</v>
      </c>
    </row>
    <row r="46" spans="1:29" ht="15">
      <c r="A46" s="421"/>
      <c r="B46" s="1130">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719"/>
      <c r="M46" s="2713"/>
      <c r="N46" s="2713"/>
      <c r="O46" s="2713"/>
      <c r="P46" s="3699"/>
      <c r="Q46" s="1349">
        <f t="shared" si="11"/>
        <v>111</v>
      </c>
      <c r="R46" s="703" t="s">
        <v>14</v>
      </c>
      <c r="S46" s="704">
        <f t="shared" si="12"/>
        <v>100</v>
      </c>
      <c r="T46" s="703" t="s">
        <v>14</v>
      </c>
      <c r="U46" s="704">
        <f t="shared" si="13"/>
        <v>100</v>
      </c>
      <c r="V46" s="703" t="s">
        <v>14</v>
      </c>
      <c r="W46" s="704">
        <f t="shared" si="14"/>
        <v>100</v>
      </c>
      <c r="X46" s="1352"/>
      <c r="Y46" s="3701"/>
      <c r="Z46" s="1353">
        <f t="shared" si="15"/>
        <v>111</v>
      </c>
      <c r="AA46" s="1350">
        <f t="shared" si="3"/>
        <v>1</v>
      </c>
      <c r="AB46" s="1350">
        <f t="shared" si="4"/>
        <v>1</v>
      </c>
      <c r="AC46" s="1959">
        <f t="shared" si="5"/>
        <v>1</v>
      </c>
    </row>
    <row r="47" spans="1:29" ht="15.6" thickBot="1">
      <c r="A47" s="427"/>
      <c r="B47" s="1892">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19"/>
      <c r="M47" s="2713"/>
      <c r="N47" s="2713"/>
      <c r="O47" s="2713"/>
      <c r="P47" s="3700"/>
      <c r="Q47" s="1349">
        <f t="shared" si="11"/>
        <v>111</v>
      </c>
      <c r="R47" s="703" t="s">
        <v>14</v>
      </c>
      <c r="S47" s="704">
        <f t="shared" si="12"/>
        <v>100</v>
      </c>
      <c r="T47" s="703" t="s">
        <v>14</v>
      </c>
      <c r="U47" s="704">
        <f t="shared" si="13"/>
        <v>100</v>
      </c>
      <c r="V47" s="703" t="s">
        <v>14</v>
      </c>
      <c r="W47" s="704">
        <f t="shared" si="14"/>
        <v>100</v>
      </c>
      <c r="X47" s="1352"/>
      <c r="Y47" s="3702"/>
      <c r="Z47" s="1353">
        <f t="shared" si="15"/>
        <v>111</v>
      </c>
      <c r="AA47" s="1350">
        <f t="shared" si="3"/>
        <v>1</v>
      </c>
      <c r="AB47" s="1350">
        <f t="shared" si="4"/>
        <v>1</v>
      </c>
      <c r="AC47" s="1959">
        <f t="shared" si="5"/>
        <v>1</v>
      </c>
    </row>
    <row r="48" spans="1:29" ht="14.4">
      <c r="A48" s="428" t="s">
        <v>1708</v>
      </c>
      <c r="B48" s="429"/>
      <c r="C48" s="1151" t="s">
        <v>0</v>
      </c>
      <c r="D48" s="1152"/>
      <c r="E48" s="1153"/>
      <c r="F48" s="1154"/>
      <c r="G48" s="1155"/>
      <c r="H48" s="1156"/>
      <c r="I48" s="1153"/>
      <c r="J48" s="434"/>
      <c r="K48" s="712"/>
      <c r="L48" s="2721"/>
      <c r="M48" s="2713"/>
      <c r="N48" s="2713"/>
      <c r="O48" s="2713"/>
      <c r="P48" s="3705" t="str">
        <f>A48</f>
        <v>成交单价（元/平方米）</v>
      </c>
      <c r="Q48" s="3694"/>
      <c r="R48" s="3695">
        <f>E48</f>
        <v>0</v>
      </c>
      <c r="S48" s="3695"/>
      <c r="T48" s="3695">
        <f>G48</f>
        <v>0</v>
      </c>
      <c r="U48" s="3695"/>
      <c r="V48" s="3695">
        <f>I48</f>
        <v>0</v>
      </c>
      <c r="W48" s="3695"/>
      <c r="X48" s="395"/>
      <c r="Y48" s="710"/>
      <c r="Z48" s="395"/>
      <c r="AA48" s="395"/>
      <c r="AB48" s="395"/>
      <c r="AC48" s="576"/>
    </row>
    <row r="49" spans="1:29" ht="15" thickBot="1">
      <c r="A49" s="435" t="s">
        <v>1793</v>
      </c>
      <c r="B49" s="436"/>
      <c r="C49" s="1157" t="e">
        <f>R50</f>
        <v>#DIV/0!</v>
      </c>
      <c r="D49" s="2314" t="s">
        <v>2138</v>
      </c>
      <c r="E49" s="1158" t="e">
        <f>R49</f>
        <v>#DIV/0!</v>
      </c>
      <c r="F49" s="2315"/>
      <c r="G49" s="1157" t="e">
        <f>T49</f>
        <v>#DIV/0!</v>
      </c>
      <c r="H49" s="2315"/>
      <c r="I49" s="1158" t="e">
        <f>V49</f>
        <v>#DIV/0!</v>
      </c>
      <c r="J49" s="2315"/>
      <c r="K49" s="2317">
        <f>F49+H49+J49</f>
        <v>0</v>
      </c>
      <c r="L49" s="2721"/>
      <c r="M49" s="2713"/>
      <c r="N49" s="2713"/>
      <c r="O49" s="2713"/>
      <c r="P49" s="3705" t="str">
        <f>A49</f>
        <v>比较价值（元/平方米）</v>
      </c>
      <c r="Q49" s="3694"/>
      <c r="R49" s="3695" t="e">
        <f>IF(F1="售价",ROUND(PRODUCT(R48,AA7:AA47),0),ROUND(PRODUCT(R48,AA7:AA47),1))</f>
        <v>#DIV/0!</v>
      </c>
      <c r="S49" s="3695"/>
      <c r="T49" s="3695" t="e">
        <f>IF(F1="售价",ROUND(PRODUCT(T48,AB7:AB47),0),ROUND(PRODUCT(T48,AB7:AB47),1))</f>
        <v>#DIV/0!</v>
      </c>
      <c r="U49" s="3695"/>
      <c r="V49" s="3695" t="e">
        <f>IF(F1="售价",ROUND(PRODUCT(V48,AC7:AC47),0),ROUND(PRODUCT(V48,AC7:AC47),1))</f>
        <v>#DIV/0!</v>
      </c>
      <c r="W49" s="3695"/>
      <c r="X49" s="395"/>
      <c r="Y49" s="395"/>
      <c r="Z49" s="395"/>
      <c r="AA49" s="395"/>
      <c r="AB49" s="395"/>
      <c r="AC49" s="576"/>
    </row>
    <row r="50" spans="1:29" ht="15" thickBot="1">
      <c r="A50" s="439" t="s">
        <v>1794</v>
      </c>
      <c r="B50" s="440"/>
      <c r="C50" s="1160" t="e">
        <f>R50</f>
        <v>#DIV/0!</v>
      </c>
      <c r="D50" s="1160"/>
      <c r="E50" s="1160"/>
      <c r="F50" s="1160"/>
      <c r="G50" s="1160"/>
      <c r="H50" s="1160"/>
      <c r="I50" s="1160"/>
      <c r="J50" s="441"/>
      <c r="K50" s="713"/>
      <c r="L50" s="2721"/>
      <c r="M50" s="2713"/>
      <c r="N50" s="2713"/>
      <c r="O50" s="2713"/>
      <c r="P50" s="3737" t="str">
        <f>A50</f>
        <v>估价对象XX用房的比较价值（楼面单价，元/平方米）</v>
      </c>
      <c r="Q50" s="3738"/>
      <c r="R50" s="3739" t="e">
        <f>IF(F1="售价",ROUND(IF(D49="简单平均",AVERAGE(R49:V49),R49*F49+T49*H49+V49*J49),0),ROUND(IF(D49="简单平均",AVERAGE(R49:V49),R49*F49+T49*H49+V49*J49),1))</f>
        <v>#DIV/0!</v>
      </c>
      <c r="S50" s="3739"/>
      <c r="T50" s="3739"/>
      <c r="U50" s="3739"/>
      <c r="V50" s="3739"/>
      <c r="W50" s="3739"/>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4" t="s">
        <v>1795</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4" t="s">
        <v>1796</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49" customFormat="1" ht="13.5" customHeight="1">
      <c r="A55" s="2725"/>
      <c r="B55" s="2725"/>
      <c r="C55" s="444" t="s">
        <v>1797</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49"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2.2" thickBot="1">
      <c r="A58" s="692" t="s">
        <v>1798</v>
      </c>
      <c r="B58" s="688"/>
      <c r="C58" s="693"/>
      <c r="D58" s="693"/>
      <c r="E58" s="693"/>
      <c r="F58" s="694"/>
      <c r="G58" s="694"/>
      <c r="H58" s="693"/>
      <c r="I58" s="693"/>
      <c r="J58" s="693"/>
      <c r="K58" s="695"/>
      <c r="L58" s="939"/>
      <c r="M58" s="937"/>
      <c r="N58" s="2766"/>
      <c r="O58" s="2766"/>
      <c r="P58" s="2755"/>
      <c r="Q58" s="2736"/>
      <c r="R58" s="2722"/>
      <c r="S58" s="2722"/>
      <c r="T58" s="2722"/>
      <c r="U58" s="2722"/>
      <c r="V58" s="2722"/>
      <c r="W58" s="2722"/>
      <c r="X58" s="2722"/>
      <c r="Y58" s="2722"/>
      <c r="Z58" s="2722"/>
      <c r="AA58" s="2722"/>
      <c r="AB58" s="2722"/>
      <c r="AC58" s="2722"/>
    </row>
    <row r="59" spans="1:29" s="455" customFormat="1" ht="14.4">
      <c r="A59" s="452" t="s">
        <v>1679</v>
      </c>
      <c r="B59" s="453"/>
      <c r="C59" s="1181" t="str">
        <f>YEAR(C7)&amp;"-"&amp;MONTH(C7)</f>
        <v>2022-12</v>
      </c>
      <c r="D59" s="1182">
        <f>EDATE(C59,-1)</f>
        <v>44866</v>
      </c>
      <c r="E59" s="1182">
        <f>EDATE(D59,-1)</f>
        <v>44835</v>
      </c>
      <c r="F59" s="1182">
        <f t="shared" ref="F59:O59" si="16">EDATE(E59,-1)</f>
        <v>44805</v>
      </c>
      <c r="G59" s="1182">
        <f t="shared" si="16"/>
        <v>44774</v>
      </c>
      <c r="H59" s="1182">
        <f t="shared" si="16"/>
        <v>44743</v>
      </c>
      <c r="I59" s="1182">
        <f t="shared" si="16"/>
        <v>44713</v>
      </c>
      <c r="J59" s="1182">
        <f t="shared" si="16"/>
        <v>44682</v>
      </c>
      <c r="K59" s="1182">
        <f t="shared" si="16"/>
        <v>44652</v>
      </c>
      <c r="L59" s="1182">
        <f t="shared" si="16"/>
        <v>44621</v>
      </c>
      <c r="M59" s="1182">
        <f t="shared" si="16"/>
        <v>44593</v>
      </c>
      <c r="N59" s="1182">
        <f t="shared" si="16"/>
        <v>44562</v>
      </c>
      <c r="O59" s="1182">
        <f t="shared" si="16"/>
        <v>44531</v>
      </c>
      <c r="P59" s="2756"/>
      <c r="Q59" s="2738"/>
      <c r="R59" s="2738"/>
      <c r="S59" s="2738"/>
      <c r="T59" s="2738"/>
      <c r="U59" s="2738"/>
      <c r="V59" s="2738"/>
      <c r="W59" s="2738"/>
      <c r="X59" s="2738"/>
      <c r="Y59" s="2738"/>
      <c r="Z59" s="2738"/>
      <c r="AA59" s="2738"/>
      <c r="AB59" s="2738"/>
      <c r="AC59" s="2738"/>
    </row>
    <row r="60" spans="1:29" s="107" customFormat="1">
      <c r="A60" s="456"/>
      <c r="B60" s="457"/>
      <c r="C60" s="1180">
        <v>100</v>
      </c>
      <c r="D60" s="459"/>
      <c r="E60" s="459"/>
      <c r="F60" s="459"/>
      <c r="G60" s="459"/>
      <c r="H60" s="459"/>
      <c r="I60" s="459"/>
      <c r="J60" s="459"/>
      <c r="K60" s="459"/>
      <c r="L60" s="459"/>
      <c r="M60" s="460"/>
      <c r="N60" s="459"/>
      <c r="O60" s="460"/>
      <c r="P60" s="2757"/>
      <c r="Q60" s="2658"/>
      <c r="R60" s="2658"/>
      <c r="S60" s="2658"/>
      <c r="T60" s="2658"/>
      <c r="U60" s="2658"/>
      <c r="V60" s="2658"/>
      <c r="W60" s="2658"/>
      <c r="X60" s="2658"/>
      <c r="Y60" s="2658"/>
      <c r="Z60" s="2658"/>
      <c r="AA60" s="2658"/>
      <c r="AB60" s="2658"/>
      <c r="AC60" s="2658"/>
    </row>
    <row r="61" spans="1:29" s="107" customFormat="1" ht="15" thickBot="1">
      <c r="A61" s="462" t="s">
        <v>1716</v>
      </c>
      <c r="B61" s="463"/>
      <c r="C61" s="464"/>
      <c r="D61" s="465"/>
      <c r="E61" s="465"/>
      <c r="F61" s="465"/>
      <c r="G61" s="465"/>
      <c r="H61" s="465"/>
      <c r="I61" s="465"/>
      <c r="J61" s="465"/>
      <c r="K61" s="465"/>
      <c r="L61" s="465"/>
      <c r="M61" s="466"/>
      <c r="N61" s="465"/>
      <c r="O61" s="466"/>
      <c r="P61" s="2757"/>
      <c r="Q61" s="2736"/>
      <c r="R61" s="2658"/>
      <c r="S61" s="2658"/>
      <c r="T61" s="2658"/>
      <c r="U61" s="2658"/>
      <c r="V61" s="2658"/>
      <c r="W61" s="2658"/>
      <c r="X61" s="2658"/>
      <c r="Y61" s="2658"/>
      <c r="Z61" s="2658"/>
      <c r="AA61" s="2658"/>
      <c r="AB61" s="2658"/>
      <c r="AC61" s="2658"/>
    </row>
    <row r="62" spans="1:29" s="107" customFormat="1" ht="14.4">
      <c r="A62" s="468" t="s">
        <v>1681</v>
      </c>
      <c r="B62" s="457"/>
      <c r="C62" s="469" t="s">
        <v>1776</v>
      </c>
      <c r="D62" s="470"/>
      <c r="E62" s="470"/>
      <c r="F62" s="470"/>
      <c r="G62" s="470"/>
      <c r="H62" s="470"/>
      <c r="I62" s="470"/>
      <c r="J62" s="470"/>
      <c r="K62" s="470"/>
      <c r="L62" s="471"/>
      <c r="M62" s="472"/>
      <c r="N62" s="2749"/>
      <c r="O62" s="2749"/>
      <c r="P62" s="2758"/>
      <c r="Q62" s="2736"/>
      <c r="R62" s="2658"/>
      <c r="S62" s="2658"/>
      <c r="T62" s="2658"/>
      <c r="U62" s="2658"/>
      <c r="V62" s="2658"/>
      <c r="W62" s="2658"/>
      <c r="X62" s="2658"/>
      <c r="Y62" s="2658"/>
      <c r="Z62" s="2658"/>
      <c r="AA62" s="2658"/>
      <c r="AB62" s="2658"/>
      <c r="AC62" s="2658"/>
    </row>
    <row r="63" spans="1:29" s="107" customFormat="1" ht="14.4" thickBot="1">
      <c r="A63" s="468"/>
      <c r="B63" s="457"/>
      <c r="C63" s="458">
        <v>100</v>
      </c>
      <c r="D63" s="459"/>
      <c r="E63" s="459"/>
      <c r="F63" s="459"/>
      <c r="G63" s="459"/>
      <c r="H63" s="459"/>
      <c r="I63" s="459"/>
      <c r="J63" s="459"/>
      <c r="K63" s="459"/>
      <c r="L63" s="459"/>
      <c r="M63" s="461"/>
      <c r="N63" s="2749"/>
      <c r="O63" s="2749"/>
      <c r="P63" s="2757"/>
      <c r="Q63" s="2736"/>
      <c r="R63" s="2658"/>
      <c r="S63" s="2658"/>
      <c r="T63" s="2658"/>
      <c r="U63" s="2658"/>
      <c r="V63" s="2658"/>
      <c r="W63" s="2658"/>
      <c r="X63" s="2658"/>
      <c r="Y63" s="2658"/>
      <c r="Z63" s="2658"/>
      <c r="AA63" s="2658"/>
      <c r="AB63" s="2658"/>
      <c r="AC63" s="2658"/>
    </row>
    <row r="64" spans="1:29" ht="14.4">
      <c r="A64" s="474" t="s">
        <v>1719</v>
      </c>
      <c r="B64" s="475" t="s">
        <v>1685</v>
      </c>
      <c r="C64" s="476">
        <f>C9</f>
        <v>0</v>
      </c>
      <c r="D64" s="477"/>
      <c r="E64" s="477"/>
      <c r="F64" s="477"/>
      <c r="G64" s="477"/>
      <c r="H64" s="477"/>
      <c r="I64" s="477"/>
      <c r="J64" s="477"/>
      <c r="K64" s="478"/>
      <c r="L64" s="479"/>
      <c r="M64" s="480"/>
      <c r="N64" s="2750"/>
      <c r="O64" s="2750"/>
      <c r="P64" s="2759"/>
      <c r="Q64" s="2736"/>
      <c r="R64" s="2722"/>
      <c r="S64" s="2722"/>
      <c r="T64" s="2722"/>
      <c r="U64" s="2722"/>
      <c r="V64" s="2722"/>
      <c r="W64" s="2722"/>
      <c r="X64" s="2722"/>
      <c r="Y64" s="2722"/>
      <c r="Z64" s="2722"/>
      <c r="AA64" s="2722"/>
      <c r="AB64" s="2722"/>
      <c r="AC64" s="2722"/>
    </row>
    <row r="65" spans="1:29" ht="14.4" thickBot="1">
      <c r="A65" s="481"/>
      <c r="B65" s="482"/>
      <c r="C65" s="483">
        <v>100</v>
      </c>
      <c r="D65" s="483"/>
      <c r="E65" s="483"/>
      <c r="F65" s="483"/>
      <c r="G65" s="483"/>
      <c r="H65" s="483"/>
      <c r="I65" s="483"/>
      <c r="J65" s="483"/>
      <c r="K65" s="483"/>
      <c r="L65" s="483"/>
      <c r="M65" s="484"/>
      <c r="N65" s="2751"/>
      <c r="O65" s="2751"/>
      <c r="P65" s="2759"/>
      <c r="Q65" s="2736"/>
      <c r="R65" s="2722"/>
      <c r="S65" s="2722"/>
      <c r="T65" s="2722"/>
      <c r="U65" s="2722"/>
      <c r="V65" s="2722"/>
      <c r="W65" s="2722"/>
      <c r="X65" s="2722"/>
      <c r="Y65" s="2722"/>
      <c r="Z65" s="2722"/>
      <c r="AA65" s="2722"/>
      <c r="AB65" s="2722"/>
      <c r="AC65" s="2722"/>
    </row>
    <row r="66" spans="1:29" ht="29.4" thickTop="1">
      <c r="A66" s="481"/>
      <c r="B66" s="485" t="s">
        <v>1688</v>
      </c>
      <c r="C66" s="530"/>
      <c r="D66" s="530"/>
      <c r="E66" s="530"/>
      <c r="F66" s="530"/>
      <c r="G66" s="530"/>
      <c r="H66" s="530"/>
      <c r="I66" s="530"/>
      <c r="J66" s="530"/>
      <c r="K66" s="531"/>
      <c r="L66" s="532"/>
      <c r="M66" s="533"/>
      <c r="N66" s="2750"/>
      <c r="O66" s="2750"/>
      <c r="P66" s="2759"/>
      <c r="Q66" s="2736"/>
      <c r="R66" s="2722"/>
      <c r="S66" s="2722"/>
      <c r="T66" s="2722"/>
      <c r="U66" s="2722"/>
      <c r="V66" s="2722"/>
      <c r="W66" s="2722"/>
      <c r="X66" s="2722"/>
      <c r="Y66" s="2722"/>
      <c r="Z66" s="2722"/>
      <c r="AA66" s="2722"/>
      <c r="AB66" s="2722"/>
      <c r="AC66" s="2722"/>
    </row>
    <row r="67" spans="1:29" ht="14.4" thickBot="1">
      <c r="A67" s="481"/>
      <c r="B67" s="490"/>
      <c r="C67" s="483"/>
      <c r="D67" s="483"/>
      <c r="E67" s="483"/>
      <c r="F67" s="483"/>
      <c r="G67" s="483"/>
      <c r="H67" s="483"/>
      <c r="I67" s="483"/>
      <c r="J67" s="483"/>
      <c r="K67" s="483"/>
      <c r="L67" s="483"/>
      <c r="M67" s="484"/>
      <c r="N67" s="2751"/>
      <c r="O67" s="2751"/>
      <c r="P67" s="2759"/>
      <c r="Q67" s="2736"/>
      <c r="R67" s="2722"/>
      <c r="S67" s="2722"/>
      <c r="T67" s="2722"/>
      <c r="U67" s="2722"/>
      <c r="V67" s="2722"/>
      <c r="W67" s="2722"/>
      <c r="X67" s="2722"/>
      <c r="Y67" s="2722"/>
      <c r="Z67" s="2722"/>
      <c r="AA67" s="2722"/>
      <c r="AB67" s="2722"/>
      <c r="AC67" s="2722"/>
    </row>
    <row r="68" spans="1:29" ht="15" thickTop="1">
      <c r="A68" s="481"/>
      <c r="B68" s="493" t="s">
        <v>1689</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751"/>
      <c r="O68" s="2751"/>
      <c r="P68" s="2759"/>
      <c r="Q68" s="2736"/>
      <c r="R68" s="2722"/>
      <c r="S68" s="2722"/>
      <c r="T68" s="2722"/>
      <c r="U68" s="2722"/>
      <c r="V68" s="2722"/>
      <c r="W68" s="2722"/>
      <c r="X68" s="2722"/>
      <c r="Y68" s="2722"/>
      <c r="Z68" s="2722"/>
      <c r="AA68" s="2722"/>
      <c r="AB68" s="2722"/>
      <c r="AC68" s="2722"/>
    </row>
    <row r="69" spans="1:29">
      <c r="A69" s="481"/>
      <c r="B69" s="495"/>
      <c r="C69" s="496">
        <v>0</v>
      </c>
      <c r="D69" s="496">
        <v>3</v>
      </c>
      <c r="E69" s="496"/>
      <c r="F69" s="496"/>
      <c r="G69" s="496"/>
      <c r="H69" s="496"/>
      <c r="I69" s="496"/>
      <c r="J69" s="496"/>
      <c r="K69" s="497"/>
      <c r="L69" s="498"/>
      <c r="M69" s="499"/>
      <c r="N69" s="2750"/>
      <c r="O69" s="2750"/>
      <c r="P69" s="2759"/>
      <c r="Q69" s="2736"/>
      <c r="R69" s="2722"/>
      <c r="S69" s="2722"/>
      <c r="T69" s="2722"/>
      <c r="U69" s="2722"/>
      <c r="V69" s="2722"/>
      <c r="W69" s="2722"/>
      <c r="X69" s="2722"/>
      <c r="Y69" s="2722"/>
      <c r="Z69" s="2722"/>
      <c r="AA69" s="2722"/>
      <c r="AB69" s="2722"/>
      <c r="AC69" s="2722"/>
    </row>
    <row r="70" spans="1:29" ht="14.4"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51"/>
      <c r="O70" s="2751"/>
      <c r="P70" s="2759"/>
      <c r="Q70" s="2736"/>
      <c r="R70" s="2722"/>
      <c r="S70" s="2722"/>
      <c r="T70" s="2722"/>
      <c r="U70" s="2722"/>
      <c r="V70" s="2722"/>
      <c r="W70" s="2722"/>
      <c r="X70" s="2722"/>
      <c r="Y70" s="2722"/>
      <c r="Z70" s="2722"/>
      <c r="AA70" s="2722"/>
      <c r="AB70" s="2722"/>
      <c r="AC70" s="2722"/>
    </row>
    <row r="71" spans="1:29" s="420" customFormat="1" ht="14.4" thickTop="1">
      <c r="A71" s="500"/>
      <c r="B71" s="485">
        <f>B12</f>
        <v>111</v>
      </c>
      <c r="C71" s="501"/>
      <c r="D71" s="501"/>
      <c r="E71" s="501"/>
      <c r="F71" s="501"/>
      <c r="G71" s="501"/>
      <c r="H71" s="502"/>
      <c r="I71" s="502"/>
      <c r="J71" s="502"/>
      <c r="K71" s="502"/>
      <c r="L71" s="503"/>
      <c r="M71" s="504"/>
      <c r="N71" s="2752"/>
      <c r="O71" s="2752"/>
      <c r="P71" s="2760"/>
      <c r="Q71" s="2743"/>
      <c r="R71" s="2744"/>
      <c r="S71" s="2744"/>
      <c r="T71" s="2744"/>
      <c r="U71" s="2744"/>
      <c r="V71" s="2744"/>
      <c r="W71" s="2744"/>
      <c r="X71" s="2744"/>
      <c r="Y71" s="2744"/>
      <c r="Z71" s="2744"/>
      <c r="AA71" s="2744"/>
      <c r="AB71" s="2744"/>
      <c r="AC71" s="2744"/>
    </row>
    <row r="72" spans="1:29" s="420" customFormat="1" ht="14.4" thickBot="1">
      <c r="A72" s="500"/>
      <c r="B72" s="490"/>
      <c r="C72" s="507"/>
      <c r="D72" s="483"/>
      <c r="E72" s="483"/>
      <c r="F72" s="483"/>
      <c r="G72" s="483"/>
      <c r="H72" s="483"/>
      <c r="I72" s="483"/>
      <c r="J72" s="483"/>
      <c r="K72" s="483"/>
      <c r="L72" s="483"/>
      <c r="M72" s="484"/>
      <c r="N72" s="2751"/>
      <c r="O72" s="2751"/>
      <c r="P72" s="2760"/>
      <c r="Q72" s="2743"/>
      <c r="R72" s="2744"/>
      <c r="S72" s="2744"/>
      <c r="T72" s="2744"/>
      <c r="U72" s="2744"/>
      <c r="V72" s="2744"/>
      <c r="W72" s="2744"/>
      <c r="X72" s="2744"/>
      <c r="Y72" s="2744"/>
      <c r="Z72" s="2744"/>
      <c r="AA72" s="2744"/>
      <c r="AB72" s="2744"/>
      <c r="AC72" s="2744"/>
    </row>
    <row r="73" spans="1:29" s="420" customFormat="1" ht="14.4" thickTop="1">
      <c r="A73" s="500"/>
      <c r="B73" s="485">
        <f>B13</f>
        <v>111</v>
      </c>
      <c r="C73" s="501"/>
      <c r="D73" s="501"/>
      <c r="E73" s="501"/>
      <c r="F73" s="501"/>
      <c r="G73" s="501"/>
      <c r="H73" s="502"/>
      <c r="I73" s="502"/>
      <c r="J73" s="502"/>
      <c r="K73" s="502"/>
      <c r="L73" s="503"/>
      <c r="M73" s="504"/>
      <c r="N73" s="2752"/>
      <c r="O73" s="2752"/>
      <c r="P73" s="2761"/>
      <c r="Q73" s="2746"/>
      <c r="R73" s="2744"/>
      <c r="S73" s="2744"/>
      <c r="T73" s="2744"/>
      <c r="U73" s="2744"/>
      <c r="V73" s="2744"/>
      <c r="W73" s="2744"/>
      <c r="X73" s="2744"/>
      <c r="Y73" s="2744"/>
      <c r="Z73" s="2744"/>
      <c r="AA73" s="2744"/>
      <c r="AB73" s="2744"/>
      <c r="AC73" s="2744"/>
    </row>
    <row r="74" spans="1:29" s="420" customFormat="1" ht="14.4" thickBot="1">
      <c r="A74" s="500"/>
      <c r="B74" s="490"/>
      <c r="C74" s="507"/>
      <c r="D74" s="507"/>
      <c r="E74" s="507"/>
      <c r="F74" s="507"/>
      <c r="G74" s="507"/>
      <c r="H74" s="509"/>
      <c r="I74" s="509"/>
      <c r="J74" s="509"/>
      <c r="K74" s="509"/>
      <c r="L74" s="509"/>
      <c r="M74" s="510"/>
      <c r="N74" s="2752"/>
      <c r="O74" s="2752"/>
      <c r="P74" s="2760"/>
      <c r="Q74" s="2743"/>
      <c r="R74" s="2744"/>
      <c r="S74" s="2744"/>
      <c r="T74" s="2744"/>
      <c r="U74" s="2744"/>
      <c r="V74" s="2744"/>
      <c r="W74" s="2744"/>
      <c r="X74" s="2744"/>
      <c r="Y74" s="2744"/>
      <c r="Z74" s="2744"/>
      <c r="AA74" s="2744"/>
      <c r="AB74" s="2744"/>
      <c r="AC74" s="2744"/>
    </row>
    <row r="75" spans="1:29" s="420" customFormat="1" ht="14.4" thickTop="1">
      <c r="A75" s="500"/>
      <c r="B75" s="493">
        <f>B14</f>
        <v>111</v>
      </c>
      <c r="C75" s="470"/>
      <c r="D75" s="470"/>
      <c r="E75" s="470"/>
      <c r="F75" s="470"/>
      <c r="G75" s="470"/>
      <c r="H75" s="511"/>
      <c r="I75" s="511"/>
      <c r="J75" s="511"/>
      <c r="K75" s="511"/>
      <c r="L75" s="512"/>
      <c r="M75" s="513"/>
      <c r="N75" s="2752"/>
      <c r="O75" s="2752"/>
      <c r="P75" s="2762"/>
      <c r="Q75" s="2743"/>
      <c r="R75" s="2744"/>
      <c r="S75" s="2744"/>
      <c r="T75" s="2744"/>
      <c r="U75" s="2744"/>
      <c r="V75" s="2744"/>
      <c r="W75" s="2744"/>
      <c r="X75" s="2744"/>
      <c r="Y75" s="2744"/>
      <c r="Z75" s="2744"/>
      <c r="AA75" s="2744"/>
      <c r="AB75" s="2744"/>
      <c r="AC75" s="2744"/>
    </row>
    <row r="76" spans="1:29" s="420" customFormat="1" ht="14.4" thickBot="1">
      <c r="A76" s="515"/>
      <c r="B76" s="516"/>
      <c r="C76" s="517"/>
      <c r="D76" s="517"/>
      <c r="E76" s="517"/>
      <c r="F76" s="517"/>
      <c r="G76" s="517"/>
      <c r="H76" s="518"/>
      <c r="I76" s="518"/>
      <c r="J76" s="518"/>
      <c r="K76" s="518"/>
      <c r="L76" s="518"/>
      <c r="M76" s="519"/>
      <c r="N76" s="2752"/>
      <c r="O76" s="2752"/>
      <c r="P76" s="2760"/>
      <c r="Q76" s="2743"/>
      <c r="R76" s="2744"/>
      <c r="S76" s="2744"/>
      <c r="T76" s="2744"/>
      <c r="U76" s="2744"/>
      <c r="V76" s="2744"/>
      <c r="W76" s="2744"/>
      <c r="X76" s="2744"/>
      <c r="Y76" s="2744"/>
      <c r="Z76" s="2744"/>
      <c r="AA76" s="2744"/>
      <c r="AB76" s="2744"/>
      <c r="AC76" s="2744"/>
    </row>
    <row r="77" spans="1:29" ht="14.4">
      <c r="A77" s="474" t="s">
        <v>1690</v>
      </c>
      <c r="B77" s="475" t="s">
        <v>1821</v>
      </c>
      <c r="C77" s="520" t="s">
        <v>1721</v>
      </c>
      <c r="D77" s="520" t="s">
        <v>1722</v>
      </c>
      <c r="E77" s="520" t="s">
        <v>1723</v>
      </c>
      <c r="F77" s="520" t="s">
        <v>1724</v>
      </c>
      <c r="G77" s="520" t="s">
        <v>1725</v>
      </c>
      <c r="H77" s="476"/>
      <c r="I77" s="476"/>
      <c r="J77" s="476"/>
      <c r="K77" s="521"/>
      <c r="L77" s="522"/>
      <c r="M77" s="523"/>
      <c r="N77" s="2750"/>
      <c r="O77" s="2750"/>
      <c r="P77" s="2763"/>
      <c r="Q77" s="2736"/>
      <c r="R77" s="2722"/>
      <c r="S77" s="2722"/>
      <c r="T77" s="2722"/>
      <c r="U77" s="2722"/>
      <c r="V77" s="2722"/>
      <c r="W77" s="2722"/>
      <c r="X77" s="2722"/>
      <c r="Y77" s="2722"/>
      <c r="Z77" s="2722"/>
      <c r="AA77" s="2722"/>
      <c r="AB77" s="2722"/>
      <c r="AC77" s="2722"/>
    </row>
    <row r="78" spans="1:29" ht="14.4" thickBot="1">
      <c r="A78" s="481"/>
      <c r="B78" s="490"/>
      <c r="C78" s="491">
        <v>100</v>
      </c>
      <c r="D78" s="491">
        <f>C78-$K15</f>
        <v>100</v>
      </c>
      <c r="E78" s="491">
        <f>D78-$K15</f>
        <v>100</v>
      </c>
      <c r="F78" s="491">
        <f>E78-$K15</f>
        <v>100</v>
      </c>
      <c r="G78" s="491">
        <f>F78-$K15</f>
        <v>100</v>
      </c>
      <c r="H78" s="491"/>
      <c r="I78" s="491"/>
      <c r="J78" s="491"/>
      <c r="K78" s="491"/>
      <c r="L78" s="491"/>
      <c r="M78" s="492"/>
      <c r="N78" s="2751"/>
      <c r="O78" s="2751"/>
      <c r="P78" s="2759"/>
      <c r="Q78" s="2736"/>
      <c r="R78" s="2722"/>
      <c r="S78" s="2722"/>
      <c r="T78" s="2722"/>
      <c r="U78" s="2722"/>
      <c r="V78" s="2722"/>
      <c r="W78" s="2722"/>
      <c r="X78" s="2722"/>
      <c r="Y78" s="2722"/>
      <c r="Z78" s="2722"/>
      <c r="AA78" s="2722"/>
      <c r="AB78" s="2722"/>
      <c r="AC78" s="2722"/>
    </row>
    <row r="79" spans="1:29" ht="15" thickTop="1">
      <c r="A79" s="481"/>
      <c r="B79" s="485" t="s">
        <v>1726</v>
      </c>
      <c r="C79" s="525" t="s">
        <v>1721</v>
      </c>
      <c r="D79" s="525" t="s">
        <v>1722</v>
      </c>
      <c r="E79" s="525" t="s">
        <v>1723</v>
      </c>
      <c r="F79" s="525" t="s">
        <v>1724</v>
      </c>
      <c r="G79" s="525" t="s">
        <v>1725</v>
      </c>
      <c r="H79" s="486"/>
      <c r="I79" s="486"/>
      <c r="J79" s="486"/>
      <c r="K79" s="487"/>
      <c r="L79" s="488"/>
      <c r="M79" s="489"/>
      <c r="N79" s="2750"/>
      <c r="O79" s="2750"/>
      <c r="P79" s="2759"/>
      <c r="Q79" s="2736"/>
      <c r="R79" s="2722"/>
      <c r="S79" s="2722"/>
      <c r="T79" s="2722"/>
      <c r="U79" s="2722"/>
      <c r="V79" s="2722"/>
      <c r="W79" s="2722"/>
      <c r="X79" s="2722"/>
      <c r="Y79" s="2722"/>
      <c r="Z79" s="2722"/>
      <c r="AA79" s="2722"/>
      <c r="AB79" s="2722"/>
      <c r="AC79" s="2722"/>
    </row>
    <row r="80" spans="1:29" ht="14.4" thickBot="1">
      <c r="A80" s="481"/>
      <c r="B80" s="490"/>
      <c r="C80" s="491">
        <v>100</v>
      </c>
      <c r="D80" s="491">
        <f>C80-$K17</f>
        <v>100</v>
      </c>
      <c r="E80" s="491">
        <f>D80-$K17</f>
        <v>100</v>
      </c>
      <c r="F80" s="491">
        <f>E80-$K17</f>
        <v>100</v>
      </c>
      <c r="G80" s="491">
        <f>F80-$K17</f>
        <v>100</v>
      </c>
      <c r="H80" s="491"/>
      <c r="I80" s="491"/>
      <c r="J80" s="491"/>
      <c r="K80" s="491"/>
      <c r="L80" s="491"/>
      <c r="M80" s="492"/>
      <c r="N80" s="2751"/>
      <c r="O80" s="2751"/>
      <c r="P80" s="2759"/>
      <c r="Q80" s="2736"/>
      <c r="R80" s="2722"/>
      <c r="S80" s="2722"/>
      <c r="T80" s="2722"/>
      <c r="U80" s="2722"/>
      <c r="V80" s="2722"/>
      <c r="W80" s="2722"/>
      <c r="X80" s="2722"/>
      <c r="Y80" s="2722"/>
      <c r="Z80" s="2722"/>
      <c r="AA80" s="2722"/>
      <c r="AB80" s="2722"/>
      <c r="AC80" s="2722"/>
    </row>
    <row r="81" spans="1:29" ht="15" thickTop="1">
      <c r="A81" s="481"/>
      <c r="B81" s="485" t="s">
        <v>1727</v>
      </c>
      <c r="C81" s="525" t="s">
        <v>1721</v>
      </c>
      <c r="D81" s="525" t="s">
        <v>1722</v>
      </c>
      <c r="E81" s="525" t="s">
        <v>1723</v>
      </c>
      <c r="F81" s="525" t="s">
        <v>1724</v>
      </c>
      <c r="G81" s="525" t="s">
        <v>1725</v>
      </c>
      <c r="H81" s="486"/>
      <c r="I81" s="486"/>
      <c r="J81" s="486"/>
      <c r="K81" s="487"/>
      <c r="L81" s="488"/>
      <c r="M81" s="489"/>
      <c r="N81" s="2750"/>
      <c r="O81" s="2750"/>
      <c r="P81" s="2759"/>
      <c r="Q81" s="2736"/>
      <c r="R81" s="2722"/>
      <c r="S81" s="2722"/>
      <c r="T81" s="2722"/>
      <c r="U81" s="2722"/>
      <c r="V81" s="2722"/>
      <c r="W81" s="2722"/>
      <c r="X81" s="2722"/>
      <c r="Y81" s="2722"/>
      <c r="Z81" s="2722"/>
      <c r="AA81" s="2722"/>
      <c r="AB81" s="2722"/>
      <c r="AC81" s="2722"/>
    </row>
    <row r="82" spans="1:29" ht="14.4" thickBot="1">
      <c r="A82" s="481"/>
      <c r="B82" s="490"/>
      <c r="C82" s="491">
        <v>100</v>
      </c>
      <c r="D82" s="491">
        <f>C82-$K19</f>
        <v>100</v>
      </c>
      <c r="E82" s="491">
        <f>D82-$K19</f>
        <v>100</v>
      </c>
      <c r="F82" s="491">
        <f>E82-$K19</f>
        <v>100</v>
      </c>
      <c r="G82" s="491">
        <f>F82-$K19</f>
        <v>100</v>
      </c>
      <c r="H82" s="491"/>
      <c r="I82" s="491"/>
      <c r="J82" s="491"/>
      <c r="K82" s="491"/>
      <c r="L82" s="491"/>
      <c r="M82" s="492"/>
      <c r="N82" s="2751"/>
      <c r="O82" s="2751"/>
      <c r="P82" s="2759"/>
      <c r="Q82" s="2736"/>
      <c r="R82" s="2722"/>
      <c r="S82" s="2722"/>
      <c r="T82" s="2722"/>
      <c r="U82" s="2722"/>
      <c r="V82" s="2722"/>
      <c r="W82" s="2722"/>
      <c r="X82" s="2722"/>
      <c r="Y82" s="2722"/>
      <c r="Z82" s="2722"/>
      <c r="AA82" s="2722"/>
      <c r="AB82" s="2722"/>
      <c r="AC82" s="2722"/>
    </row>
    <row r="83" spans="1:29" ht="15" thickTop="1">
      <c r="A83" s="481"/>
      <c r="B83" s="493" t="s">
        <v>1813</v>
      </c>
      <c r="C83" s="606" t="s">
        <v>1799</v>
      </c>
      <c r="D83" s="606" t="s">
        <v>1800</v>
      </c>
      <c r="E83" s="606" t="s">
        <v>1801</v>
      </c>
      <c r="F83" s="606" t="s">
        <v>1802</v>
      </c>
      <c r="G83" s="606" t="s">
        <v>1803</v>
      </c>
      <c r="H83" s="486"/>
      <c r="I83" s="486"/>
      <c r="J83" s="486"/>
      <c r="K83" s="486"/>
      <c r="L83" s="486"/>
      <c r="M83" s="1126"/>
      <c r="N83" s="2751"/>
      <c r="O83" s="2751"/>
      <c r="P83" s="2759"/>
      <c r="Q83" s="2736"/>
      <c r="R83" s="2722"/>
      <c r="S83" s="2722"/>
      <c r="T83" s="2722"/>
      <c r="U83" s="2722"/>
      <c r="V83" s="2722"/>
      <c r="W83" s="2722"/>
      <c r="X83" s="2722"/>
      <c r="Y83" s="2722"/>
      <c r="Z83" s="2722"/>
      <c r="AA83" s="2722"/>
      <c r="AB83" s="2722"/>
      <c r="AC83" s="2722"/>
    </row>
    <row r="84" spans="1:29" ht="14.4" thickBot="1">
      <c r="A84" s="481"/>
      <c r="B84" s="493"/>
      <c r="C84" s="491">
        <v>100</v>
      </c>
      <c r="D84" s="491">
        <f>C84-$K21</f>
        <v>100</v>
      </c>
      <c r="E84" s="491">
        <f>D84-$K21</f>
        <v>100</v>
      </c>
      <c r="F84" s="491">
        <f>E84-$K21</f>
        <v>100</v>
      </c>
      <c r="G84" s="491">
        <f>F84-$K21</f>
        <v>100</v>
      </c>
      <c r="H84" s="606"/>
      <c r="I84" s="606"/>
      <c r="J84" s="606"/>
      <c r="K84" s="606"/>
      <c r="L84" s="606"/>
      <c r="M84" s="399"/>
      <c r="N84" s="2751"/>
      <c r="O84" s="2751"/>
      <c r="P84" s="2759"/>
      <c r="Q84" s="2736"/>
      <c r="R84" s="2722"/>
      <c r="S84" s="2722"/>
      <c r="T84" s="2722"/>
      <c r="U84" s="2722"/>
      <c r="V84" s="2722"/>
      <c r="W84" s="2722"/>
      <c r="X84" s="2722"/>
      <c r="Y84" s="2722"/>
      <c r="Z84" s="2722"/>
      <c r="AA84" s="2722"/>
      <c r="AB84" s="2722"/>
      <c r="AC84" s="2722"/>
    </row>
    <row r="85" spans="1:29" ht="15" thickTop="1">
      <c r="A85" s="481"/>
      <c r="B85" s="485" t="s">
        <v>1822</v>
      </c>
      <c r="C85" s="525" t="s">
        <v>1721</v>
      </c>
      <c r="D85" s="525" t="s">
        <v>1722</v>
      </c>
      <c r="E85" s="525" t="s">
        <v>1723</v>
      </c>
      <c r="F85" s="525" t="s">
        <v>1724</v>
      </c>
      <c r="G85" s="525" t="s">
        <v>1725</v>
      </c>
      <c r="H85" s="486"/>
      <c r="I85" s="486"/>
      <c r="J85" s="486"/>
      <c r="K85" s="487"/>
      <c r="L85" s="488"/>
      <c r="M85" s="489"/>
      <c r="N85" s="2750"/>
      <c r="O85" s="2750"/>
      <c r="P85" s="2759"/>
      <c r="Q85" s="2736"/>
      <c r="R85" s="2722"/>
      <c r="S85" s="2722"/>
      <c r="T85" s="2722"/>
      <c r="U85" s="2722"/>
      <c r="V85" s="2722"/>
      <c r="W85" s="2722"/>
      <c r="X85" s="2722"/>
      <c r="Y85" s="2722"/>
      <c r="Z85" s="2722"/>
      <c r="AA85" s="2722"/>
      <c r="AB85" s="2722"/>
      <c r="AC85" s="2722"/>
    </row>
    <row r="86" spans="1:29" ht="14.4" thickBot="1">
      <c r="A86" s="481"/>
      <c r="B86" s="490"/>
      <c r="C86" s="491">
        <v>100</v>
      </c>
      <c r="D86" s="491">
        <f>C86-$K23</f>
        <v>100</v>
      </c>
      <c r="E86" s="491">
        <f>D86-$K23</f>
        <v>100</v>
      </c>
      <c r="F86" s="491">
        <f>E86-$K23</f>
        <v>100</v>
      </c>
      <c r="G86" s="491">
        <f>F86-$K23</f>
        <v>100</v>
      </c>
      <c r="H86" s="491"/>
      <c r="I86" s="491"/>
      <c r="J86" s="491"/>
      <c r="K86" s="491"/>
      <c r="L86" s="491"/>
      <c r="M86" s="492"/>
      <c r="N86" s="2751"/>
      <c r="O86" s="2751"/>
      <c r="P86" s="2759"/>
      <c r="Q86" s="2736"/>
      <c r="R86" s="2722"/>
      <c r="S86" s="2722"/>
      <c r="T86" s="2722"/>
      <c r="U86" s="2722"/>
      <c r="V86" s="2722"/>
      <c r="W86" s="2722"/>
      <c r="X86" s="2722"/>
      <c r="Y86" s="2722"/>
      <c r="Z86" s="2722"/>
      <c r="AA86" s="2722"/>
      <c r="AB86" s="2722"/>
      <c r="AC86" s="2722"/>
    </row>
    <row r="87" spans="1:29" s="107" customFormat="1" ht="29.4" thickTop="1">
      <c r="A87" s="526"/>
      <c r="B87" s="485" t="s">
        <v>1823</v>
      </c>
      <c r="C87" s="501"/>
      <c r="D87" s="501"/>
      <c r="E87" s="501"/>
      <c r="F87" s="501"/>
      <c r="G87" s="501"/>
      <c r="H87" s="501"/>
      <c r="I87" s="501"/>
      <c r="J87" s="501"/>
      <c r="K87" s="501"/>
      <c r="L87" s="527"/>
      <c r="M87" s="528"/>
      <c r="N87" s="2749"/>
      <c r="O87" s="2749"/>
      <c r="P87" s="2759"/>
      <c r="Q87" s="2736"/>
      <c r="R87" s="2658"/>
      <c r="S87" s="2658"/>
      <c r="T87" s="2658"/>
      <c r="U87" s="2658"/>
      <c r="V87" s="2658"/>
      <c r="W87" s="2658"/>
      <c r="X87" s="2658"/>
      <c r="Y87" s="2658"/>
      <c r="Z87" s="2658"/>
      <c r="AA87" s="2658"/>
      <c r="AB87" s="2658"/>
      <c r="AC87" s="2658"/>
    </row>
    <row r="88" spans="1:29" s="107" customFormat="1" ht="14.4"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51"/>
      <c r="O88" s="2751"/>
      <c r="P88" s="2759"/>
      <c r="Q88" s="2736"/>
      <c r="R88" s="2658"/>
      <c r="S88" s="2658"/>
      <c r="T88" s="2658"/>
      <c r="U88" s="2658"/>
      <c r="V88" s="2658"/>
      <c r="W88" s="2658"/>
      <c r="X88" s="2658"/>
      <c r="Y88" s="2658"/>
      <c r="Z88" s="2658"/>
      <c r="AA88" s="2658"/>
      <c r="AB88" s="2658"/>
      <c r="AC88" s="2658"/>
    </row>
    <row r="89" spans="1:29" s="107" customFormat="1" ht="14.4" thickTop="1">
      <c r="A89" s="526"/>
      <c r="B89" s="485" t="str">
        <f>B27</f>
        <v>楼层</v>
      </c>
      <c r="C89" s="501"/>
      <c r="D89" s="501"/>
      <c r="E89" s="501"/>
      <c r="F89" s="1924"/>
      <c r="G89" s="501"/>
      <c r="H89" s="501"/>
      <c r="I89" s="501"/>
      <c r="J89" s="501"/>
      <c r="K89" s="501"/>
      <c r="L89" s="501"/>
      <c r="M89" s="528"/>
      <c r="N89" s="2749"/>
      <c r="O89" s="2749"/>
      <c r="P89" s="2759"/>
      <c r="Q89" s="2736"/>
      <c r="R89" s="2658"/>
      <c r="S89" s="2658"/>
      <c r="T89" s="2658"/>
      <c r="U89" s="2658"/>
      <c r="V89" s="2658"/>
      <c r="W89" s="2658"/>
      <c r="X89" s="2658"/>
      <c r="Y89" s="2658"/>
      <c r="Z89" s="2658"/>
      <c r="AA89" s="2658"/>
      <c r="AB89" s="2658"/>
      <c r="AC89" s="2658"/>
    </row>
    <row r="90" spans="1:29" s="107" customFormat="1" ht="14.4"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51"/>
      <c r="O90" s="2751"/>
      <c r="P90" s="2759"/>
      <c r="Q90" s="2736"/>
      <c r="R90" s="2658"/>
      <c r="S90" s="2658"/>
      <c r="T90" s="2658"/>
      <c r="U90" s="2658"/>
      <c r="V90" s="2658"/>
      <c r="W90" s="2658"/>
      <c r="X90" s="2658"/>
      <c r="Y90" s="2658"/>
      <c r="Z90" s="2658"/>
      <c r="AA90" s="2658"/>
      <c r="AB90" s="2658"/>
      <c r="AC90" s="2658"/>
    </row>
    <row r="91" spans="1:29" s="420" customFormat="1" ht="14.4" thickTop="1">
      <c r="A91" s="500"/>
      <c r="B91" s="485" t="str">
        <f>B28</f>
        <v>朝向</v>
      </c>
      <c r="C91" s="501"/>
      <c r="D91" s="501"/>
      <c r="E91" s="501"/>
      <c r="F91" s="501"/>
      <c r="G91" s="501"/>
      <c r="H91" s="502"/>
      <c r="I91" s="502"/>
      <c r="J91" s="502"/>
      <c r="K91" s="502"/>
      <c r="L91" s="503"/>
      <c r="M91" s="504"/>
      <c r="N91" s="2752"/>
      <c r="O91" s="2752"/>
      <c r="P91" s="2760"/>
      <c r="Q91" s="2743"/>
      <c r="R91" s="2744"/>
      <c r="S91" s="2744"/>
      <c r="T91" s="2744"/>
      <c r="U91" s="2744"/>
      <c r="V91" s="2744"/>
      <c r="W91" s="2744"/>
      <c r="X91" s="2744"/>
      <c r="Y91" s="2744"/>
      <c r="Z91" s="2744"/>
      <c r="AA91" s="2744"/>
      <c r="AB91" s="2744"/>
      <c r="AC91" s="2744"/>
    </row>
    <row r="92" spans="1:29" s="420" customFormat="1" ht="14.4"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52"/>
      <c r="O92" s="2752"/>
      <c r="P92" s="2760"/>
      <c r="Q92" s="2743"/>
      <c r="R92" s="2744"/>
      <c r="S92" s="2744"/>
      <c r="T92" s="2744"/>
      <c r="U92" s="2744"/>
      <c r="V92" s="2744"/>
      <c r="W92" s="2744"/>
      <c r="X92" s="2744"/>
      <c r="Y92" s="2744"/>
      <c r="Z92" s="2744"/>
      <c r="AA92" s="2744"/>
      <c r="AB92" s="2744"/>
      <c r="AC92" s="2744"/>
    </row>
    <row r="93" spans="1:29" ht="14.4" thickTop="1">
      <c r="A93" s="481"/>
      <c r="B93" s="485">
        <f>B29</f>
        <v>111</v>
      </c>
      <c r="C93" s="501"/>
      <c r="D93" s="501"/>
      <c r="E93" s="501"/>
      <c r="F93" s="501"/>
      <c r="G93" s="501"/>
      <c r="H93" s="501"/>
      <c r="I93" s="501"/>
      <c r="J93" s="501"/>
      <c r="K93" s="501"/>
      <c r="L93" s="527"/>
      <c r="M93" s="528"/>
      <c r="N93" s="2750"/>
      <c r="O93" s="2750"/>
      <c r="P93" s="2759"/>
      <c r="Q93" s="2736"/>
      <c r="R93" s="2722"/>
      <c r="S93" s="2722"/>
      <c r="T93" s="2722"/>
      <c r="U93" s="2722"/>
      <c r="V93" s="2722"/>
      <c r="W93" s="2722"/>
      <c r="X93" s="2722"/>
      <c r="Y93" s="2722"/>
      <c r="Z93" s="2722"/>
      <c r="AA93" s="2722"/>
      <c r="AB93" s="2722"/>
      <c r="AC93" s="2722"/>
    </row>
    <row r="94" spans="1:29" ht="14.4" thickBot="1">
      <c r="A94" s="481"/>
      <c r="B94" s="490"/>
      <c r="C94" s="507"/>
      <c r="D94" s="483"/>
      <c r="E94" s="483"/>
      <c r="F94" s="483"/>
      <c r="G94" s="483"/>
      <c r="H94" s="483"/>
      <c r="I94" s="483"/>
      <c r="J94" s="483"/>
      <c r="K94" s="483"/>
      <c r="L94" s="483"/>
      <c r="M94" s="484"/>
      <c r="N94" s="2751"/>
      <c r="O94" s="2751"/>
      <c r="P94" s="2759"/>
      <c r="Q94" s="2736"/>
      <c r="R94" s="2722"/>
      <c r="S94" s="2722"/>
      <c r="T94" s="2722"/>
      <c r="U94" s="2722"/>
      <c r="V94" s="2722"/>
      <c r="W94" s="2722"/>
      <c r="X94" s="2722"/>
      <c r="Y94" s="2722"/>
      <c r="Z94" s="2722"/>
      <c r="AA94" s="2722"/>
      <c r="AB94" s="2722"/>
      <c r="AC94" s="2722"/>
    </row>
    <row r="95" spans="1:29" ht="14.4" thickTop="1">
      <c r="A95" s="481"/>
      <c r="B95" s="485">
        <f>B30</f>
        <v>111</v>
      </c>
      <c r="C95" s="501"/>
      <c r="D95" s="501"/>
      <c r="E95" s="501"/>
      <c r="F95" s="501"/>
      <c r="G95" s="530"/>
      <c r="H95" s="530"/>
      <c r="I95" s="530"/>
      <c r="J95" s="530"/>
      <c r="K95" s="531"/>
      <c r="L95" s="532"/>
      <c r="M95" s="533"/>
      <c r="N95" s="2750"/>
      <c r="O95" s="2750"/>
      <c r="P95" s="2759"/>
      <c r="Q95" s="2736"/>
      <c r="R95" s="2722"/>
      <c r="S95" s="2722"/>
      <c r="T95" s="2722"/>
      <c r="U95" s="2722"/>
      <c r="V95" s="2722"/>
      <c r="W95" s="2722"/>
      <c r="X95" s="2722"/>
      <c r="Y95" s="2722"/>
      <c r="Z95" s="2722"/>
      <c r="AA95" s="2722"/>
      <c r="AB95" s="2722"/>
      <c r="AC95" s="2722"/>
    </row>
    <row r="96" spans="1:29" ht="14.4" thickBot="1">
      <c r="A96" s="481"/>
      <c r="B96" s="490"/>
      <c r="C96" s="507"/>
      <c r="D96" s="507"/>
      <c r="E96" s="507"/>
      <c r="F96" s="507"/>
      <c r="G96" s="483"/>
      <c r="H96" s="483"/>
      <c r="I96" s="483"/>
      <c r="J96" s="483"/>
      <c r="K96" s="483"/>
      <c r="L96" s="483"/>
      <c r="M96" s="484"/>
      <c r="N96" s="2751"/>
      <c r="O96" s="2751"/>
      <c r="P96" s="2759"/>
      <c r="Q96" s="2736"/>
      <c r="R96" s="2722"/>
      <c r="S96" s="2722"/>
      <c r="T96" s="2722"/>
      <c r="U96" s="2722"/>
      <c r="V96" s="2722"/>
      <c r="W96" s="2722"/>
      <c r="X96" s="2722"/>
      <c r="Y96" s="2722"/>
      <c r="Z96" s="2722"/>
      <c r="AA96" s="2722"/>
      <c r="AB96" s="2722"/>
      <c r="AC96" s="2722"/>
    </row>
    <row r="97" spans="1:29" ht="14.4" thickTop="1">
      <c r="A97" s="481"/>
      <c r="B97" s="485">
        <f>B31</f>
        <v>111</v>
      </c>
      <c r="C97" s="501"/>
      <c r="D97" s="501"/>
      <c r="E97" s="501"/>
      <c r="F97" s="501"/>
      <c r="G97" s="530"/>
      <c r="H97" s="530"/>
      <c r="I97" s="530"/>
      <c r="J97" s="530"/>
      <c r="K97" s="531"/>
      <c r="L97" s="532"/>
      <c r="M97" s="533"/>
      <c r="N97" s="2750"/>
      <c r="O97" s="2750"/>
      <c r="P97" s="2759"/>
      <c r="Q97" s="2736"/>
      <c r="R97" s="2722"/>
      <c r="S97" s="2722"/>
      <c r="T97" s="2722"/>
      <c r="U97" s="2722"/>
      <c r="V97" s="2722"/>
      <c r="W97" s="2722"/>
      <c r="X97" s="2722"/>
      <c r="Y97" s="2722"/>
      <c r="Z97" s="2722"/>
      <c r="AA97" s="2722"/>
      <c r="AB97" s="2722"/>
      <c r="AC97" s="2722"/>
    </row>
    <row r="98" spans="1:29" ht="14.4" thickBot="1">
      <c r="A98" s="481"/>
      <c r="B98" s="490"/>
      <c r="C98" s="507"/>
      <c r="D98" s="483"/>
      <c r="E98" s="483"/>
      <c r="F98" s="483"/>
      <c r="G98" s="483"/>
      <c r="H98" s="483"/>
      <c r="I98" s="483"/>
      <c r="J98" s="483"/>
      <c r="K98" s="483"/>
      <c r="L98" s="483"/>
      <c r="M98" s="484"/>
      <c r="N98" s="2751"/>
      <c r="O98" s="2751"/>
      <c r="P98" s="2759"/>
      <c r="Q98" s="2736"/>
      <c r="R98" s="2722"/>
      <c r="S98" s="2722"/>
      <c r="T98" s="2722"/>
      <c r="U98" s="2722"/>
      <c r="V98" s="2722"/>
      <c r="W98" s="2722"/>
      <c r="X98" s="2722"/>
      <c r="Y98" s="2722"/>
      <c r="Z98" s="2722"/>
      <c r="AA98" s="2722"/>
      <c r="AB98" s="2722"/>
      <c r="AC98" s="2722"/>
    </row>
    <row r="99" spans="1:29" ht="14.4" thickTop="1">
      <c r="A99" s="481"/>
      <c r="B99" s="493">
        <f>B32</f>
        <v>111</v>
      </c>
      <c r="C99" s="470"/>
      <c r="D99" s="470"/>
      <c r="E99" s="470"/>
      <c r="F99" s="470"/>
      <c r="G99" s="534"/>
      <c r="H99" s="534"/>
      <c r="I99" s="534"/>
      <c r="J99" s="534"/>
      <c r="K99" s="535"/>
      <c r="L99" s="536"/>
      <c r="M99" s="537"/>
      <c r="N99" s="2750"/>
      <c r="O99" s="2750"/>
      <c r="P99" s="2759"/>
      <c r="Q99" s="2736"/>
      <c r="R99" s="2722"/>
      <c r="S99" s="2722"/>
      <c r="T99" s="2722"/>
      <c r="U99" s="2722"/>
      <c r="V99" s="2722"/>
      <c r="W99" s="2722"/>
      <c r="X99" s="2722"/>
      <c r="Y99" s="2722"/>
      <c r="Z99" s="2722"/>
      <c r="AA99" s="2722"/>
      <c r="AB99" s="2722"/>
      <c r="AC99" s="2722"/>
    </row>
    <row r="100" spans="1:29" ht="14.4" thickBot="1">
      <c r="A100" s="1925"/>
      <c r="B100" s="516"/>
      <c r="C100" s="517"/>
      <c r="D100" s="517"/>
      <c r="E100" s="517"/>
      <c r="F100" s="517"/>
      <c r="G100" s="538"/>
      <c r="H100" s="538"/>
      <c r="I100" s="538"/>
      <c r="J100" s="538"/>
      <c r="K100" s="538"/>
      <c r="L100" s="538"/>
      <c r="M100" s="539"/>
      <c r="N100" s="2751"/>
      <c r="O100" s="2751"/>
      <c r="P100" s="2759"/>
      <c r="Q100" s="2736"/>
      <c r="R100" s="2722"/>
      <c r="S100" s="2722"/>
      <c r="T100" s="2722"/>
      <c r="U100" s="2722"/>
      <c r="V100" s="2722"/>
      <c r="W100" s="2722"/>
      <c r="X100" s="2722"/>
      <c r="Y100" s="2722"/>
      <c r="Z100" s="2722"/>
      <c r="AA100" s="2722"/>
      <c r="AB100" s="2722"/>
      <c r="AC100" s="2722"/>
    </row>
    <row r="101" spans="1:29" ht="14.4">
      <c r="A101" s="474" t="s">
        <v>1694</v>
      </c>
      <c r="B101" s="475" t="s">
        <v>1736</v>
      </c>
      <c r="C101" s="477"/>
      <c r="D101" s="477"/>
      <c r="E101" s="477"/>
      <c r="F101" s="477"/>
      <c r="G101" s="477"/>
      <c r="H101" s="477"/>
      <c r="I101" s="477"/>
      <c r="J101" s="477"/>
      <c r="K101" s="478"/>
      <c r="L101" s="479"/>
      <c r="M101" s="480"/>
      <c r="N101" s="2750"/>
      <c r="O101" s="2750"/>
      <c r="P101" s="2759"/>
      <c r="Q101" s="2736"/>
      <c r="R101" s="2722"/>
      <c r="S101" s="2722"/>
      <c r="T101" s="2722"/>
      <c r="U101" s="2722"/>
      <c r="V101" s="2722"/>
      <c r="W101" s="2722"/>
      <c r="X101" s="2722"/>
      <c r="Y101" s="2722"/>
      <c r="Z101" s="2722"/>
      <c r="AA101" s="2722"/>
      <c r="AB101" s="2722"/>
      <c r="AC101" s="2722"/>
    </row>
    <row r="102" spans="1:29" ht="14.4"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51"/>
      <c r="O102" s="2751"/>
      <c r="P102" s="2759"/>
      <c r="Q102" s="2736"/>
      <c r="R102" s="2722"/>
      <c r="S102" s="2722"/>
      <c r="T102" s="2722"/>
      <c r="U102" s="2722"/>
      <c r="V102" s="2722"/>
      <c r="W102" s="2722"/>
      <c r="X102" s="2722"/>
      <c r="Y102" s="2722"/>
      <c r="Z102" s="2722"/>
      <c r="AA102" s="2722"/>
      <c r="AB102" s="2722"/>
      <c r="AC102" s="2722"/>
    </row>
    <row r="103" spans="1:29" ht="15" thickTop="1">
      <c r="A103" s="481"/>
      <c r="B103" s="485" t="s">
        <v>1737</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0" customFormat="1">
      <c r="A104" s="540"/>
      <c r="B104" s="541"/>
      <c r="C104" s="542"/>
      <c r="D104" s="542"/>
      <c r="E104" s="542"/>
      <c r="F104" s="542"/>
      <c r="G104" s="542"/>
      <c r="H104" s="542"/>
      <c r="I104" s="542"/>
      <c r="J104" s="543"/>
      <c r="K104" s="543"/>
      <c r="L104" s="544"/>
      <c r="M104" s="545"/>
      <c r="N104" s="2752"/>
      <c r="O104" s="2752"/>
      <c r="P104" s="2760"/>
      <c r="Q104" s="2743"/>
      <c r="R104" s="2744"/>
      <c r="S104" s="2744"/>
      <c r="T104" s="2744"/>
      <c r="U104" s="2744"/>
      <c r="V104" s="2744"/>
      <c r="W104" s="2744"/>
      <c r="X104" s="2744"/>
      <c r="Y104" s="2744"/>
      <c r="Z104" s="2744"/>
      <c r="AA104" s="2744"/>
      <c r="AB104" s="2744"/>
      <c r="AC104" s="2744"/>
    </row>
    <row r="105" spans="1:29" s="420" customFormat="1" ht="14.4" thickBot="1">
      <c r="A105" s="500"/>
      <c r="B105" s="490"/>
      <c r="C105" s="507"/>
      <c r="D105" s="483"/>
      <c r="E105" s="483"/>
      <c r="F105" s="483"/>
      <c r="G105" s="483"/>
      <c r="H105" s="483"/>
      <c r="I105" s="483"/>
      <c r="J105" s="483"/>
      <c r="K105" s="483"/>
      <c r="L105" s="483"/>
      <c r="M105" s="484"/>
      <c r="N105" s="2751"/>
      <c r="O105" s="2751"/>
      <c r="P105" s="2760"/>
      <c r="Q105" s="2743"/>
      <c r="R105" s="2744"/>
      <c r="S105" s="2744"/>
      <c r="T105" s="2744"/>
      <c r="U105" s="2744"/>
      <c r="V105" s="2744"/>
      <c r="W105" s="2744"/>
      <c r="X105" s="2744"/>
      <c r="Y105" s="2744"/>
      <c r="Z105" s="2744"/>
      <c r="AA105" s="2744"/>
      <c r="AB105" s="2744"/>
      <c r="AC105" s="2744"/>
    </row>
    <row r="106" spans="1:29" ht="15" thickTop="1">
      <c r="A106" s="546"/>
      <c r="B106" s="485" t="s">
        <v>1738</v>
      </c>
      <c r="C106" s="501"/>
      <c r="D106" s="501"/>
      <c r="E106" s="530"/>
      <c r="F106" s="530"/>
      <c r="G106" s="530"/>
      <c r="H106" s="530"/>
      <c r="I106" s="530"/>
      <c r="J106" s="530"/>
      <c r="K106" s="531"/>
      <c r="L106" s="532"/>
      <c r="M106" s="533"/>
      <c r="N106" s="2750"/>
      <c r="O106" s="2750"/>
      <c r="P106" s="2759"/>
      <c r="Q106" s="2736"/>
      <c r="R106" s="2722"/>
      <c r="S106" s="2722"/>
      <c r="T106" s="2722"/>
      <c r="U106" s="2722"/>
      <c r="V106" s="2722"/>
      <c r="W106" s="2722"/>
      <c r="X106" s="2722"/>
      <c r="Y106" s="2722"/>
      <c r="Z106" s="2722"/>
      <c r="AA106" s="2722"/>
      <c r="AB106" s="2722"/>
      <c r="AC106" s="2722"/>
    </row>
    <row r="107" spans="1:29" ht="14.4"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6"/>
      <c r="B108" s="485" t="s">
        <v>1740</v>
      </c>
      <c r="C108" s="501"/>
      <c r="D108" s="501"/>
      <c r="E108" s="501"/>
      <c r="F108" s="530"/>
      <c r="G108" s="530"/>
      <c r="H108" s="530"/>
      <c r="I108" s="530"/>
      <c r="J108" s="530"/>
      <c r="K108" s="531"/>
      <c r="L108" s="532"/>
      <c r="M108" s="533"/>
      <c r="N108" s="2750"/>
      <c r="O108" s="2750"/>
      <c r="P108" s="2759"/>
      <c r="Q108" s="2736"/>
      <c r="R108" s="2722"/>
      <c r="S108" s="2722"/>
      <c r="T108" s="2722"/>
      <c r="U108" s="2722"/>
      <c r="V108" s="2722"/>
      <c r="W108" s="2722"/>
      <c r="X108" s="2722"/>
      <c r="Y108" s="2722"/>
      <c r="Z108" s="2722"/>
      <c r="AA108" s="2722"/>
      <c r="AB108" s="2722"/>
      <c r="AC108" s="2722"/>
    </row>
    <row r="109" spans="1:29" ht="14.4"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50"/>
      <c r="O110" s="2750"/>
      <c r="P110" s="2759"/>
      <c r="Q110" s="2736"/>
      <c r="R110" s="2722"/>
      <c r="S110" s="2722"/>
      <c r="T110" s="2722"/>
      <c r="U110" s="2722"/>
      <c r="V110" s="2722"/>
      <c r="W110" s="2722"/>
      <c r="X110" s="2722"/>
      <c r="Y110" s="2722"/>
      <c r="Z110" s="2722"/>
      <c r="AA110" s="2722"/>
      <c r="AB110" s="2722"/>
      <c r="AC110" s="2722"/>
    </row>
    <row r="111" spans="1:29">
      <c r="A111" s="546"/>
      <c r="B111" s="493"/>
      <c r="C111" s="550">
        <v>0.5</v>
      </c>
      <c r="D111" s="550">
        <v>0.6</v>
      </c>
      <c r="E111" s="550">
        <v>0.7</v>
      </c>
      <c r="F111" s="550">
        <v>0.8</v>
      </c>
      <c r="G111" s="550">
        <v>0.9</v>
      </c>
      <c r="H111" s="550">
        <v>1.0001</v>
      </c>
      <c r="I111" s="569"/>
      <c r="J111" s="569"/>
      <c r="K111" s="570"/>
      <c r="L111" s="571"/>
      <c r="M111" s="572"/>
      <c r="N111" s="2750"/>
      <c r="O111" s="2750"/>
      <c r="P111" s="2759"/>
      <c r="Q111" s="2736"/>
      <c r="R111" s="2722"/>
      <c r="S111" s="2722"/>
      <c r="T111" s="2722"/>
      <c r="U111" s="2722"/>
      <c r="V111" s="2722"/>
      <c r="W111" s="2722"/>
      <c r="X111" s="2722"/>
      <c r="Y111" s="2722"/>
      <c r="Z111" s="2722"/>
      <c r="AA111" s="2722"/>
      <c r="AB111" s="2722"/>
      <c r="AC111" s="2722"/>
    </row>
    <row r="112" spans="1:29" ht="14.4"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51"/>
      <c r="O112" s="2751"/>
      <c r="P112" s="2759"/>
      <c r="Q112" s="2736"/>
      <c r="R112" s="2722"/>
      <c r="S112" s="2722"/>
      <c r="T112" s="2722"/>
      <c r="U112" s="2722"/>
      <c r="V112" s="2722"/>
      <c r="W112" s="2722"/>
      <c r="X112" s="2722"/>
      <c r="Y112" s="2722"/>
      <c r="Z112" s="2722"/>
      <c r="AA112" s="2722"/>
      <c r="AB112" s="2722"/>
      <c r="AC112" s="2722"/>
    </row>
    <row r="113" spans="1:29" s="420" customFormat="1" ht="15" thickTop="1">
      <c r="A113" s="540"/>
      <c r="B113" s="485" t="s">
        <v>1824</v>
      </c>
      <c r="C113" s="501"/>
      <c r="D113" s="501"/>
      <c r="E113" s="501"/>
      <c r="F113" s="501"/>
      <c r="G113" s="501"/>
      <c r="H113" s="530"/>
      <c r="I113" s="530"/>
      <c r="J113" s="530"/>
      <c r="K113" s="531"/>
      <c r="L113" s="532"/>
      <c r="M113" s="533"/>
      <c r="N113" s="2752"/>
      <c r="O113" s="2752"/>
      <c r="P113" s="2760"/>
      <c r="Q113" s="2743"/>
      <c r="R113" s="2744"/>
      <c r="S113" s="2744"/>
      <c r="T113" s="2744"/>
      <c r="U113" s="2744"/>
      <c r="V113" s="2744"/>
      <c r="W113" s="2744"/>
      <c r="X113" s="2744"/>
      <c r="Y113" s="2744"/>
      <c r="Z113" s="2744"/>
      <c r="AA113" s="2744"/>
      <c r="AB113" s="2744"/>
      <c r="AC113" s="2744"/>
    </row>
    <row r="114" spans="1:29" s="420" customFormat="1" ht="14.4"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6"/>
      <c r="B115" s="485" t="s">
        <v>1741</v>
      </c>
      <c r="C115" s="501"/>
      <c r="D115" s="501"/>
      <c r="E115" s="530"/>
      <c r="F115" s="530"/>
      <c r="G115" s="530"/>
      <c r="H115" s="530"/>
      <c r="I115" s="530"/>
      <c r="J115" s="530"/>
      <c r="K115" s="531"/>
      <c r="L115" s="532"/>
      <c r="M115" s="533"/>
      <c r="N115" s="2750"/>
      <c r="O115" s="2750"/>
      <c r="P115" s="2759"/>
      <c r="Q115" s="2736"/>
      <c r="R115" s="2722"/>
      <c r="S115" s="2722"/>
      <c r="T115" s="2722"/>
      <c r="U115" s="2722"/>
      <c r="V115" s="2722"/>
      <c r="W115" s="2722"/>
      <c r="X115" s="2722"/>
      <c r="Y115" s="2722"/>
      <c r="Z115" s="2722"/>
      <c r="AA115" s="2722"/>
      <c r="AB115" s="2722"/>
      <c r="AC115" s="2722"/>
    </row>
    <row r="116" spans="1:29" ht="14.4"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6"/>
      <c r="B117" s="485" t="s">
        <v>1742</v>
      </c>
      <c r="C117" s="501"/>
      <c r="D117" s="501"/>
      <c r="E117" s="501"/>
      <c r="F117" s="501"/>
      <c r="G117" s="501"/>
      <c r="H117" s="530"/>
      <c r="I117" s="530"/>
      <c r="J117" s="530"/>
      <c r="K117" s="531"/>
      <c r="L117" s="532"/>
      <c r="M117" s="533"/>
      <c r="N117" s="2750"/>
      <c r="O117" s="2750"/>
      <c r="P117" s="2759"/>
      <c r="Q117" s="2736"/>
      <c r="R117" s="2722"/>
      <c r="S117" s="2722"/>
      <c r="T117" s="2722"/>
      <c r="U117" s="2722"/>
      <c r="V117" s="2722"/>
      <c r="W117" s="2722"/>
      <c r="X117" s="2722"/>
      <c r="Y117" s="2722"/>
      <c r="Z117" s="2722"/>
      <c r="AA117" s="2722"/>
      <c r="AB117" s="2722"/>
      <c r="AC117" s="2722"/>
    </row>
    <row r="118" spans="1:29" ht="14.4" thickBot="1">
      <c r="A118" s="481"/>
      <c r="B118" s="490"/>
      <c r="C118" s="491">
        <v>100</v>
      </c>
      <c r="D118" s="491">
        <f>C118-$K40</f>
        <v>100</v>
      </c>
      <c r="E118" s="491">
        <f>D118-$K40</f>
        <v>100</v>
      </c>
      <c r="F118" s="491">
        <f>E118-$K40</f>
        <v>100</v>
      </c>
      <c r="G118" s="491">
        <f>F118-$K40</f>
        <v>100</v>
      </c>
      <c r="H118" s="491"/>
      <c r="I118" s="491"/>
      <c r="J118" s="491"/>
      <c r="K118" s="491"/>
      <c r="L118" s="491"/>
      <c r="M118" s="492"/>
      <c r="N118" s="2751"/>
      <c r="O118" s="2751"/>
      <c r="P118" s="2759"/>
      <c r="Q118" s="2736"/>
      <c r="R118" s="2722"/>
      <c r="S118" s="2722"/>
      <c r="T118" s="2722"/>
      <c r="U118" s="2722"/>
      <c r="V118" s="2722"/>
      <c r="W118" s="2722"/>
      <c r="X118" s="2722"/>
      <c r="Y118" s="2722"/>
      <c r="Z118" s="2722"/>
      <c r="AA118" s="2722"/>
      <c r="AB118" s="2722"/>
      <c r="AC118" s="2722"/>
    </row>
    <row r="119" spans="1:29" ht="15" thickTop="1">
      <c r="A119" s="546"/>
      <c r="B119" s="582" t="s">
        <v>1825</v>
      </c>
      <c r="C119" s="530"/>
      <c r="D119" s="530"/>
      <c r="E119" s="530"/>
      <c r="F119" s="530"/>
      <c r="G119" s="530"/>
      <c r="H119" s="530"/>
      <c r="I119" s="530"/>
      <c r="J119" s="530"/>
      <c r="K119" s="530"/>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4.4"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51"/>
      <c r="O120" s="2751"/>
      <c r="P120" s="2759"/>
      <c r="Q120" s="2736"/>
      <c r="R120" s="2722"/>
      <c r="S120" s="2722"/>
      <c r="T120" s="2722"/>
      <c r="U120" s="2722"/>
      <c r="V120" s="2722"/>
      <c r="W120" s="2722"/>
      <c r="X120" s="2722"/>
      <c r="Y120" s="2722"/>
      <c r="Z120" s="2722"/>
      <c r="AA120" s="2722"/>
      <c r="AB120" s="2722"/>
      <c r="AC120" s="2722"/>
    </row>
    <row r="121" spans="1:29" s="420" customFormat="1" ht="15" thickTop="1">
      <c r="A121" s="540"/>
      <c r="B121" s="485" t="s">
        <v>1808</v>
      </c>
      <c r="C121" s="501"/>
      <c r="D121" s="501"/>
      <c r="E121" s="501"/>
      <c r="F121" s="530"/>
      <c r="G121" s="502"/>
      <c r="H121" s="502"/>
      <c r="I121" s="502"/>
      <c r="J121" s="502"/>
      <c r="K121" s="502"/>
      <c r="L121" s="503"/>
      <c r="M121" s="504"/>
      <c r="N121" s="2752"/>
      <c r="O121" s="2752"/>
      <c r="P121" s="2760"/>
      <c r="Q121" s="2743"/>
      <c r="R121" s="2744"/>
      <c r="S121" s="2744"/>
      <c r="T121" s="2744"/>
      <c r="U121" s="2744"/>
      <c r="V121" s="2744"/>
      <c r="W121" s="2744"/>
      <c r="X121" s="2744"/>
      <c r="Y121" s="2744"/>
      <c r="Z121" s="2744"/>
      <c r="AA121" s="2744"/>
      <c r="AB121" s="2744"/>
      <c r="AC121" s="2744"/>
    </row>
    <row r="122" spans="1:29" s="420" customFormat="1" ht="14.4" thickBot="1">
      <c r="A122" s="500"/>
      <c r="B122" s="482"/>
      <c r="C122" s="507"/>
      <c r="D122" s="507"/>
      <c r="E122" s="507"/>
      <c r="F122" s="507"/>
      <c r="G122" s="507"/>
      <c r="H122" s="507"/>
      <c r="I122" s="507"/>
      <c r="J122" s="507"/>
      <c r="K122" s="507"/>
      <c r="L122" s="507"/>
      <c r="M122" s="507"/>
      <c r="N122" s="2752"/>
      <c r="O122" s="2752"/>
      <c r="P122" s="2760"/>
      <c r="Q122" s="2743"/>
      <c r="R122" s="2744"/>
      <c r="S122" s="2744"/>
      <c r="T122" s="2744"/>
      <c r="U122" s="2744"/>
      <c r="V122" s="2744"/>
      <c r="W122" s="2744"/>
      <c r="X122" s="2744"/>
      <c r="Y122" s="2744"/>
      <c r="Z122" s="2744"/>
      <c r="AA122" s="2744"/>
      <c r="AB122" s="2744"/>
      <c r="AC122" s="2744"/>
    </row>
    <row r="123" spans="1:29" ht="15" thickTop="1">
      <c r="A123" s="546"/>
      <c r="B123" s="485" t="s">
        <v>1744</v>
      </c>
      <c r="C123" s="501"/>
      <c r="D123" s="501"/>
      <c r="E123" s="501"/>
      <c r="F123" s="530"/>
      <c r="G123" s="530"/>
      <c r="H123" s="530"/>
      <c r="I123" s="530"/>
      <c r="J123" s="530"/>
      <c r="K123" s="531"/>
      <c r="L123" s="532"/>
      <c r="M123" s="533"/>
      <c r="N123" s="2750"/>
      <c r="O123" s="2750"/>
      <c r="P123" s="2759"/>
      <c r="Q123" s="2736"/>
      <c r="R123" s="2722"/>
      <c r="S123" s="2722"/>
      <c r="T123" s="2722"/>
      <c r="U123" s="2722"/>
      <c r="V123" s="2722"/>
      <c r="W123" s="2722"/>
      <c r="X123" s="2722"/>
      <c r="Y123" s="2722"/>
      <c r="Z123" s="2722"/>
      <c r="AA123" s="2722"/>
      <c r="AB123" s="2722"/>
      <c r="AC123" s="2722"/>
    </row>
    <row r="124" spans="1:29" ht="14.4"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51"/>
      <c r="O124" s="2751"/>
      <c r="P124" s="2759"/>
      <c r="Q124" s="2736"/>
      <c r="R124" s="2722"/>
      <c r="S124" s="2722"/>
      <c r="T124" s="2722"/>
      <c r="U124" s="2722"/>
      <c r="V124" s="2722"/>
      <c r="W124" s="2722"/>
      <c r="X124" s="2722"/>
      <c r="Y124" s="2722"/>
      <c r="Z124" s="2722"/>
      <c r="AA124" s="2722"/>
      <c r="AB124" s="2722"/>
      <c r="AC124" s="2722"/>
    </row>
    <row r="125" spans="1:29" ht="29.4" thickTop="1">
      <c r="A125" s="546"/>
      <c r="B125" s="485" t="s">
        <v>1745</v>
      </c>
      <c r="C125" s="525" t="s">
        <v>1721</v>
      </c>
      <c r="D125" s="525" t="s">
        <v>1722</v>
      </c>
      <c r="E125" s="525" t="s">
        <v>1723</v>
      </c>
      <c r="F125" s="525" t="s">
        <v>1724</v>
      </c>
      <c r="G125" s="525" t="s">
        <v>1725</v>
      </c>
      <c r="H125" s="486"/>
      <c r="I125" s="486"/>
      <c r="J125" s="486"/>
      <c r="K125" s="487"/>
      <c r="L125" s="488"/>
      <c r="M125" s="489"/>
      <c r="N125" s="2750"/>
      <c r="O125" s="2750"/>
      <c r="P125" s="2760"/>
      <c r="Q125" s="2736"/>
      <c r="R125" s="2722"/>
      <c r="S125" s="2722"/>
      <c r="T125" s="2722"/>
      <c r="U125" s="2722"/>
      <c r="V125" s="2722"/>
      <c r="W125" s="2722"/>
      <c r="X125" s="2722"/>
      <c r="Y125" s="2722"/>
      <c r="Z125" s="2722"/>
      <c r="AA125" s="2722"/>
      <c r="AB125" s="2722"/>
      <c r="AC125" s="2722"/>
    </row>
    <row r="126" spans="1:29" ht="14.4" thickBot="1">
      <c r="A126" s="481"/>
      <c r="B126" s="490"/>
      <c r="C126" s="491">
        <v>100</v>
      </c>
      <c r="D126" s="491">
        <f>C126-$K44</f>
        <v>100</v>
      </c>
      <c r="E126" s="491">
        <f>D126-$K44</f>
        <v>100</v>
      </c>
      <c r="F126" s="491">
        <f>E126-$K44</f>
        <v>100</v>
      </c>
      <c r="G126" s="491">
        <f>F126-$K44</f>
        <v>100</v>
      </c>
      <c r="H126" s="491"/>
      <c r="I126" s="491"/>
      <c r="J126" s="491"/>
      <c r="K126" s="491"/>
      <c r="L126" s="491"/>
      <c r="M126" s="492"/>
      <c r="N126" s="2751"/>
      <c r="O126" s="2751"/>
      <c r="P126" s="2759"/>
      <c r="Q126" s="2736"/>
      <c r="R126" s="2722"/>
      <c r="S126" s="2722"/>
      <c r="T126" s="2722"/>
      <c r="U126" s="2722"/>
      <c r="V126" s="2722"/>
      <c r="W126" s="2722"/>
      <c r="X126" s="2722"/>
      <c r="Y126" s="2722"/>
      <c r="Z126" s="2722"/>
      <c r="AA126" s="2722"/>
      <c r="AB126" s="2722"/>
      <c r="AC126" s="2722"/>
    </row>
    <row r="127" spans="1:29" s="420" customFormat="1" ht="14.4" thickTop="1">
      <c r="A127" s="540"/>
      <c r="B127" s="485">
        <f>B45</f>
        <v>111</v>
      </c>
      <c r="C127" s="501"/>
      <c r="D127" s="501"/>
      <c r="E127" s="501"/>
      <c r="F127" s="501"/>
      <c r="G127" s="501"/>
      <c r="H127" s="502"/>
      <c r="I127" s="502"/>
      <c r="J127" s="502"/>
      <c r="K127" s="502"/>
      <c r="L127" s="503"/>
      <c r="M127" s="504"/>
      <c r="N127" s="2752"/>
      <c r="O127" s="2752"/>
      <c r="P127" s="2760"/>
      <c r="Q127" s="2743"/>
      <c r="R127" s="2744"/>
      <c r="S127" s="2744"/>
      <c r="T127" s="2744"/>
      <c r="U127" s="2744"/>
      <c r="V127" s="2744"/>
      <c r="W127" s="2744"/>
      <c r="X127" s="2744"/>
      <c r="Y127" s="2744"/>
      <c r="Z127" s="2744"/>
      <c r="AA127" s="2744"/>
      <c r="AB127" s="2744"/>
      <c r="AC127" s="2744"/>
    </row>
    <row r="128" spans="1:29" s="420" customFormat="1" ht="14.4" thickBot="1">
      <c r="A128" s="500"/>
      <c r="B128" s="490"/>
      <c r="C128" s="507"/>
      <c r="D128" s="483"/>
      <c r="E128" s="483"/>
      <c r="F128" s="483"/>
      <c r="G128" s="507"/>
      <c r="H128" s="509"/>
      <c r="I128" s="509"/>
      <c r="J128" s="509"/>
      <c r="K128" s="509"/>
      <c r="L128" s="509"/>
      <c r="M128" s="510"/>
      <c r="N128" s="2752"/>
      <c r="O128" s="2752"/>
      <c r="P128" s="2760"/>
      <c r="Q128" s="2743"/>
      <c r="R128" s="2744"/>
      <c r="S128" s="2744"/>
      <c r="T128" s="2744"/>
      <c r="U128" s="2744"/>
      <c r="V128" s="2744"/>
      <c r="W128" s="2744"/>
      <c r="X128" s="2744"/>
      <c r="Y128" s="2744"/>
      <c r="Z128" s="2744"/>
      <c r="AA128" s="2744"/>
      <c r="AB128" s="2744"/>
      <c r="AC128" s="2744"/>
    </row>
    <row r="129" spans="1:29" ht="14.4" thickTop="1">
      <c r="A129" s="546"/>
      <c r="B129" s="485">
        <f>B46</f>
        <v>111</v>
      </c>
      <c r="C129" s="501"/>
      <c r="D129" s="501"/>
      <c r="E129" s="501"/>
      <c r="F129" s="501"/>
      <c r="G129" s="530"/>
      <c r="H129" s="530"/>
      <c r="I129" s="530"/>
      <c r="J129" s="530"/>
      <c r="K129" s="531"/>
      <c r="L129" s="532"/>
      <c r="M129" s="533"/>
      <c r="N129" s="2750"/>
      <c r="O129" s="2750"/>
      <c r="P129" s="2759"/>
      <c r="Q129" s="2736"/>
      <c r="R129" s="2722"/>
      <c r="S129" s="2722"/>
      <c r="T129" s="2722"/>
      <c r="U129" s="2722"/>
      <c r="V129" s="2722"/>
      <c r="W129" s="2722"/>
      <c r="X129" s="2722"/>
      <c r="Y129" s="2722"/>
      <c r="Z129" s="2722"/>
      <c r="AA129" s="2722"/>
      <c r="AB129" s="2722"/>
      <c r="AC129" s="2722"/>
    </row>
    <row r="130" spans="1:29" ht="14.4" thickBot="1">
      <c r="A130" s="481"/>
      <c r="B130" s="490"/>
      <c r="C130" s="507"/>
      <c r="D130" s="507"/>
      <c r="E130" s="507"/>
      <c r="F130" s="507"/>
      <c r="G130" s="483"/>
      <c r="H130" s="483"/>
      <c r="I130" s="483"/>
      <c r="J130" s="483"/>
      <c r="K130" s="483"/>
      <c r="L130" s="483"/>
      <c r="M130" s="484"/>
      <c r="N130" s="2751"/>
      <c r="O130" s="2751"/>
      <c r="P130" s="2759"/>
      <c r="Q130" s="2736"/>
      <c r="R130" s="2722"/>
      <c r="S130" s="2722"/>
      <c r="T130" s="2722"/>
      <c r="U130" s="2722"/>
      <c r="V130" s="2722"/>
      <c r="W130" s="2722"/>
      <c r="X130" s="2722"/>
      <c r="Y130" s="2722"/>
      <c r="Z130" s="2722"/>
      <c r="AA130" s="2722"/>
      <c r="AB130" s="2722"/>
      <c r="AC130" s="2722"/>
    </row>
    <row r="131" spans="1:29" ht="14.4" thickTop="1">
      <c r="A131" s="546"/>
      <c r="B131" s="493">
        <f>B47</f>
        <v>111</v>
      </c>
      <c r="C131" s="470"/>
      <c r="D131" s="470"/>
      <c r="E131" s="470"/>
      <c r="F131" s="470"/>
      <c r="G131" s="534"/>
      <c r="H131" s="534"/>
      <c r="I131" s="534"/>
      <c r="J131" s="534"/>
      <c r="K131" s="470"/>
      <c r="L131" s="471"/>
      <c r="M131" s="537"/>
      <c r="N131" s="2750"/>
      <c r="O131" s="2750"/>
      <c r="P131" s="2759"/>
      <c r="Q131" s="2736"/>
      <c r="R131" s="2722"/>
      <c r="S131" s="2722"/>
      <c r="T131" s="2722"/>
      <c r="U131" s="2722"/>
      <c r="V131" s="2722"/>
      <c r="W131" s="2722"/>
      <c r="X131" s="2722"/>
      <c r="Y131" s="2722"/>
      <c r="Z131" s="2722"/>
      <c r="AA131" s="2722"/>
      <c r="AB131" s="2722"/>
      <c r="AC131" s="2722"/>
    </row>
    <row r="132" spans="1:29" ht="14.4" thickBot="1">
      <c r="A132" s="1925"/>
      <c r="B132" s="516"/>
      <c r="C132" s="517"/>
      <c r="D132" s="517"/>
      <c r="E132" s="517"/>
      <c r="F132" s="517"/>
      <c r="G132" s="538"/>
      <c r="H132" s="538"/>
      <c r="I132" s="538"/>
      <c r="J132" s="538"/>
      <c r="K132" s="538"/>
      <c r="L132" s="538"/>
      <c r="M132" s="539"/>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4" customWidth="1"/>
    <col min="2" max="16384" width="9" style="1474"/>
  </cols>
  <sheetData>
    <row r="1" spans="1:1" ht="22.8">
      <c r="A1" s="1473" t="s">
        <v>898</v>
      </c>
    </row>
    <row r="2" spans="1:1">
      <c r="A2" s="1475"/>
    </row>
    <row r="3" spans="1:1" ht="17.399999999999999">
      <c r="A3" s="1476" t="str">
        <f>项目基本情况!B5&amp;"："</f>
        <v>：</v>
      </c>
    </row>
    <row r="4" spans="1:1" ht="17.399999999999999">
      <c r="A4" s="1477" t="str">
        <f>"受贵公司委托，我公司对"&amp;项目基本情况!S1&amp;"进行了预评估。"</f>
        <v>受贵公司委托，我公司对北京市房地产抵押价值进行了预评估。</v>
      </c>
    </row>
    <row r="5" spans="1:1" ht="17.399999999999999">
      <c r="A5" s="1478" t="s">
        <v>899</v>
      </c>
    </row>
    <row r="6" spans="1:1" ht="17.399999999999999">
      <c r="A6" s="1479" t="s">
        <v>900</v>
      </c>
    </row>
    <row r="7" spans="1:1" ht="52.2">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估价对象为北京市房地产，为所有。根据《国有土地使用证》[]，估价对象（分摊）出让国有建设用地使用权面积为2229.49平方米，建筑面积为204.38平方米。</v>
      </c>
    </row>
    <row r="8" spans="1:1" ht="54.6">
      <c r="A8" s="1480" t="s">
        <v>901</v>
      </c>
    </row>
    <row r="9" spans="1:1" ht="17.399999999999999">
      <c r="A9" s="1479" t="s">
        <v>902</v>
      </c>
    </row>
    <row r="10" spans="1:1" ht="52.2">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估价对象为北京市房地产,属开发建设的，该项目尚在开发建设中。根据《国有土地使用证》[]，估价对象（分摊）出让国有建设用地使用权面积为2229.49平方米，规划建筑面积为204.38平方米。</v>
      </c>
    </row>
    <row r="11" spans="1:1" ht="72">
      <c r="A11" s="1480" t="s">
        <v>903</v>
      </c>
    </row>
    <row r="12" spans="1:1" ht="17.399999999999999">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2" t="s">
        <v>905</v>
      </c>
    </row>
    <row r="15" spans="1:1" ht="17.399999999999999">
      <c r="A15" s="1483" t="str">
        <f>TEXT(项目基本情况!D3,"yyyy年m月d日;;")&amp;IF(项目基本情况!D3=项目基本情况!B3,"（评估专业人员实地查勘之日）","")</f>
        <v>2022年12月22日</v>
      </c>
    </row>
    <row r="16" spans="1:1" ht="17.399999999999999">
      <c r="A16" s="1482" t="s">
        <v>906</v>
      </c>
    </row>
    <row r="17" spans="1:1" ht="69.599999999999994">
      <c r="A17" s="1477" t="s">
        <v>907</v>
      </c>
    </row>
    <row r="18" spans="1:1" ht="69.59999999999999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22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2" t="s">
        <v>896</v>
      </c>
    </row>
    <row r="24" spans="1:1" ht="17.399999999999999">
      <c r="A24" s="1484" t="str">
        <f>"本次评估采用的主估价方法为"&amp;结果表!K4&amp;"和"&amp;结果表!L4&amp;"。"</f>
        <v>本次评估采用的主估价方法为成本法和收益法。</v>
      </c>
    </row>
    <row r="25" spans="1:1" ht="17.399999999999999">
      <c r="A25" s="1484"/>
    </row>
    <row r="26" spans="1:1" ht="17.399999999999999">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95" sqref="P95"/>
    </sheetView>
  </sheetViews>
  <sheetFormatPr defaultColWidth="9" defaultRowHeight="13.8"/>
  <cols>
    <col min="1" max="1" width="10.44140625" style="355" customWidth="1"/>
    <col min="2" max="2" width="15.77734375" style="355" customWidth="1"/>
    <col min="3" max="3" width="14.33203125" style="355" customWidth="1"/>
    <col min="4" max="4" width="12.21875" style="355" customWidth="1"/>
    <col min="5" max="5" width="14.33203125" style="355" customWidth="1"/>
    <col min="6" max="6" width="12.21875" style="355" customWidth="1"/>
    <col min="7" max="7" width="14.44140625" style="355" customWidth="1"/>
    <col min="8" max="8" width="12.21875" style="355" customWidth="1"/>
    <col min="9" max="9" width="14.44140625" style="355" customWidth="1"/>
    <col min="10" max="10" width="12.21875" style="355" customWidth="1"/>
    <col min="11" max="11" width="12.21875" style="442" customWidth="1"/>
    <col min="12" max="12" width="12.21875" style="443" customWidth="1"/>
    <col min="13" max="15" width="12.21875" style="355" customWidth="1"/>
    <col min="16" max="16" width="4.77734375" style="355" customWidth="1"/>
    <col min="17" max="17" width="19.44140625" style="355" customWidth="1"/>
    <col min="18" max="22" width="6.109375" style="355" customWidth="1"/>
    <col min="23" max="23" width="5.77734375" style="355" customWidth="1"/>
    <col min="24" max="24" width="4.21875" style="355" customWidth="1"/>
    <col min="25" max="25" width="3.44140625" style="355" customWidth="1"/>
    <col min="26" max="26" width="19.77734375" style="355" customWidth="1"/>
    <col min="27" max="28" width="9.33203125" style="355" customWidth="1"/>
    <col min="29" max="16384" width="9" style="355"/>
  </cols>
  <sheetData>
    <row r="1" spans="1:29" s="1230" customFormat="1" ht="28.5" customHeight="1" thickBot="1">
      <c r="A1" s="1219" t="s">
        <v>1660</v>
      </c>
      <c r="B1" s="1954" t="s">
        <v>1826</v>
      </c>
      <c r="C1" s="1221" t="s">
        <v>1662</v>
      </c>
      <c r="D1" s="1222"/>
      <c r="E1" s="3432"/>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7"/>
      <c r="Q2" s="697"/>
      <c r="R2" s="697"/>
      <c r="S2" s="697"/>
      <c r="T2" s="697"/>
      <c r="U2" s="697"/>
      <c r="V2" s="697"/>
      <c r="W2" s="697"/>
      <c r="X2" s="697"/>
      <c r="Y2" s="697"/>
      <c r="Z2" s="697"/>
      <c r="AA2" s="697"/>
      <c r="AB2" s="697"/>
      <c r="AC2" s="711"/>
    </row>
    <row r="3" spans="1:29" s="350" customFormat="1" ht="28.5" customHeight="1" thickBot="1">
      <c r="A3" s="201" t="s">
        <v>1464</v>
      </c>
      <c r="B3" s="556">
        <f>IF(C2="——",C43,ROUND(B2*10000/D3,0))</f>
        <v>0</v>
      </c>
      <c r="C3" s="352" t="s">
        <v>1768</v>
      </c>
      <c r="D3" s="351">
        <f>IF(D1="",'数据-汇总表'!E3,SUMIF('数据-汇总表'!$C19:$C33,D1,'数据-汇总表'!$E19:$E33))</f>
        <v>204.38</v>
      </c>
      <c r="E3" s="905"/>
      <c r="F3" s="906"/>
      <c r="G3" s="905"/>
      <c r="H3" s="905"/>
      <c r="I3" s="905"/>
      <c r="J3" s="905"/>
      <c r="K3" s="907"/>
      <c r="L3" s="908"/>
      <c r="M3" s="909"/>
      <c r="N3" s="909"/>
      <c r="O3" s="909"/>
      <c r="P3" s="697"/>
      <c r="Q3" s="697"/>
      <c r="R3" s="697"/>
      <c r="S3" s="697"/>
      <c r="T3" s="697"/>
      <c r="U3" s="697"/>
      <c r="V3" s="697"/>
      <c r="W3" s="697"/>
      <c r="X3" s="697"/>
      <c r="Y3" s="697"/>
      <c r="Z3" s="697"/>
      <c r="AA3" s="697"/>
      <c r="AB3" s="714"/>
      <c r="AC3" s="711"/>
    </row>
    <row r="4" spans="1:29" ht="14.4">
      <c r="A4" s="353" t="s">
        <v>1769</v>
      </c>
      <c r="B4" s="354"/>
      <c r="C4" s="3709" t="s">
        <v>1770</v>
      </c>
      <c r="D4" s="3710"/>
      <c r="E4" s="3711" t="s">
        <v>1771</v>
      </c>
      <c r="F4" s="3712"/>
      <c r="G4" s="3709" t="s">
        <v>1772</v>
      </c>
      <c r="H4" s="3710"/>
      <c r="I4" s="3709" t="s">
        <v>1773</v>
      </c>
      <c r="J4" s="3710"/>
      <c r="K4" s="557" t="s">
        <v>1774</v>
      </c>
      <c r="L4" s="910"/>
      <c r="M4" s="911"/>
      <c r="N4" s="911"/>
      <c r="O4" s="911"/>
      <c r="P4" s="3713" t="s">
        <v>1775</v>
      </c>
      <c r="Q4" s="3714"/>
      <c r="R4" s="3719" t="s">
        <v>1771</v>
      </c>
      <c r="S4" s="3720"/>
      <c r="T4" s="3719" t="s">
        <v>1772</v>
      </c>
      <c r="U4" s="3720"/>
      <c r="V4" s="3725" t="s">
        <v>1773</v>
      </c>
      <c r="W4" s="3725"/>
      <c r="X4" s="1352"/>
      <c r="Y4" s="3719" t="s">
        <v>1775</v>
      </c>
      <c r="Z4" s="3720"/>
      <c r="AA4" s="3706" t="s">
        <v>1771</v>
      </c>
      <c r="AB4" s="3707" t="s">
        <v>1772</v>
      </c>
      <c r="AC4" s="3706" t="s">
        <v>1773</v>
      </c>
    </row>
    <row r="5" spans="1:29">
      <c r="A5" s="356"/>
      <c r="B5" s="357"/>
      <c r="C5" s="3728" t="s">
        <v>1673</v>
      </c>
      <c r="D5" s="3729"/>
      <c r="E5" s="3735" t="s">
        <v>1674</v>
      </c>
      <c r="F5" s="3736"/>
      <c r="G5" s="3728" t="s">
        <v>1675</v>
      </c>
      <c r="H5" s="3729"/>
      <c r="I5" s="3728" t="s">
        <v>1676</v>
      </c>
      <c r="J5" s="3729"/>
      <c r="K5" s="557"/>
      <c r="L5" s="910"/>
      <c r="M5" s="911"/>
      <c r="N5" s="911"/>
      <c r="O5" s="911"/>
      <c r="P5" s="3715"/>
      <c r="Q5" s="3716"/>
      <c r="R5" s="3721"/>
      <c r="S5" s="3722"/>
      <c r="T5" s="3721"/>
      <c r="U5" s="3722"/>
      <c r="V5" s="3725"/>
      <c r="W5" s="3725"/>
      <c r="X5" s="1352"/>
      <c r="Y5" s="3721"/>
      <c r="Z5" s="3722"/>
      <c r="AA5" s="3707"/>
      <c r="AB5" s="3707"/>
      <c r="AC5" s="3707"/>
    </row>
    <row r="6" spans="1:29" ht="15" thickBot="1">
      <c r="A6" s="358"/>
      <c r="B6" s="359"/>
      <c r="C6" s="3726" t="s">
        <v>1677</v>
      </c>
      <c r="D6" s="3727"/>
      <c r="E6" s="3733" t="s">
        <v>1677</v>
      </c>
      <c r="F6" s="3734"/>
      <c r="G6" s="3726" t="s">
        <v>1677</v>
      </c>
      <c r="H6" s="3727"/>
      <c r="I6" s="3726" t="s">
        <v>1677</v>
      </c>
      <c r="J6" s="3727"/>
      <c r="K6" s="557" t="s">
        <v>1678</v>
      </c>
      <c r="L6" s="910"/>
      <c r="M6" s="911"/>
      <c r="N6" s="911"/>
      <c r="O6" s="911"/>
      <c r="P6" s="3717"/>
      <c r="Q6" s="3718"/>
      <c r="R6" s="3721"/>
      <c r="S6" s="3722"/>
      <c r="T6" s="3723"/>
      <c r="U6" s="3724"/>
      <c r="V6" s="3725"/>
      <c r="W6" s="3725"/>
      <c r="X6" s="1352"/>
      <c r="Y6" s="3723"/>
      <c r="Z6" s="3724"/>
      <c r="AA6" s="3708"/>
      <c r="AB6" s="3708"/>
      <c r="AC6" s="3708"/>
    </row>
    <row r="7" spans="1:29" s="107" customFormat="1" ht="15" thickBot="1">
      <c r="A7" s="360" t="s">
        <v>1679</v>
      </c>
      <c r="B7" s="361"/>
      <c r="C7" s="362">
        <f>'数据-取费表'!B2</f>
        <v>44917</v>
      </c>
      <c r="D7" s="363">
        <v>100</v>
      </c>
      <c r="E7" s="364"/>
      <c r="F7" s="365">
        <f>SUMIF(52:52,YEAR(E7)&amp;"-"&amp;MONTH(E7),53:53)</f>
        <v>0</v>
      </c>
      <c r="G7" s="364"/>
      <c r="H7" s="363">
        <f>SUMIF(52:52,YEAR(G7)&amp;"-"&amp;MONTH(G7),53:53)</f>
        <v>0</v>
      </c>
      <c r="I7" s="364"/>
      <c r="J7" s="363">
        <f>SUMIF(52:52,YEAR(I7)&amp;"-"&amp;MONTH(I7),53:53)</f>
        <v>0</v>
      </c>
      <c r="K7" s="558"/>
      <c r="L7" s="912"/>
      <c r="M7" s="913"/>
      <c r="N7" s="913"/>
      <c r="O7" s="913"/>
      <c r="P7" s="3730" t="s">
        <v>1680</v>
      </c>
      <c r="Q7" s="3732"/>
      <c r="R7" s="699" t="s">
        <v>14</v>
      </c>
      <c r="S7" s="700">
        <f t="shared" ref="S7:S15" si="0">F7</f>
        <v>0</v>
      </c>
      <c r="T7" s="699" t="s">
        <v>14</v>
      </c>
      <c r="U7" s="700">
        <f t="shared" ref="U7:U15" si="1">H7</f>
        <v>0</v>
      </c>
      <c r="V7" s="699" t="s">
        <v>14</v>
      </c>
      <c r="W7" s="700">
        <f t="shared" ref="W7:W15" si="2">J7</f>
        <v>0</v>
      </c>
      <c r="X7" s="701"/>
      <c r="Y7" s="3730" t="s">
        <v>1680</v>
      </c>
      <c r="Z7" s="3731"/>
      <c r="AA7" s="702" t="e">
        <f>D7/F7</f>
        <v>#DIV/0!</v>
      </c>
      <c r="AB7" s="702" t="e">
        <f>D7/H7</f>
        <v>#DIV/0!</v>
      </c>
      <c r="AC7" s="702" t="e">
        <f>D7/J7</f>
        <v>#DIV/0!</v>
      </c>
    </row>
    <row r="8" spans="1:29" s="107" customFormat="1" ht="1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2"/>
      <c r="M8" s="913"/>
      <c r="N8" s="913"/>
      <c r="O8" s="913"/>
      <c r="P8" s="3730" t="s">
        <v>1683</v>
      </c>
      <c r="Q8" s="3731"/>
      <c r="R8" s="699" t="s">
        <v>14</v>
      </c>
      <c r="S8" s="700">
        <f t="shared" si="0"/>
        <v>100</v>
      </c>
      <c r="T8" s="699" t="s">
        <v>14</v>
      </c>
      <c r="U8" s="700">
        <f t="shared" si="1"/>
        <v>100</v>
      </c>
      <c r="V8" s="699" t="s">
        <v>14</v>
      </c>
      <c r="W8" s="700">
        <f t="shared" si="2"/>
        <v>100</v>
      </c>
      <c r="X8" s="701"/>
      <c r="Y8" s="3730" t="s">
        <v>1683</v>
      </c>
      <c r="Z8" s="3731"/>
      <c r="AA8" s="702">
        <f t="shared" ref="AA8:AA40" si="3">D8/F8</f>
        <v>1</v>
      </c>
      <c r="AB8" s="702">
        <f t="shared" ref="AB8:AB40" si="4">D8/H8</f>
        <v>1</v>
      </c>
      <c r="AC8" s="702">
        <f t="shared" ref="AC8:AC40" si="5">D8/J8</f>
        <v>1</v>
      </c>
    </row>
    <row r="9" spans="1:29" s="107" customFormat="1" ht="14.4">
      <c r="A9" s="367" t="s">
        <v>1684</v>
      </c>
      <c r="B9" s="63" t="s">
        <v>1685</v>
      </c>
      <c r="C9" s="368"/>
      <c r="D9" s="124">
        <v>100</v>
      </c>
      <c r="E9" s="371"/>
      <c r="F9" s="124">
        <f>SUMIF(57:57,E9,58:58)-SUMIF(57:57,C9,58:58)+100</f>
        <v>100</v>
      </c>
      <c r="G9" s="369"/>
      <c r="H9" s="124">
        <f>SUMIF(57:57,G9,58:58)-SUMIF(57:57,C9,58:58)+100</f>
        <v>100</v>
      </c>
      <c r="I9" s="369"/>
      <c r="J9" s="124">
        <f>SUMIF(57:57,I9,58:58)-SUMIF(57:57,C9,58:58)+100</f>
        <v>100</v>
      </c>
      <c r="K9" s="558"/>
      <c r="L9" s="912"/>
      <c r="M9" s="913"/>
      <c r="N9" s="913"/>
      <c r="O9" s="914"/>
      <c r="P9" s="3694" t="s">
        <v>1686</v>
      </c>
      <c r="Q9" s="1340" t="str">
        <f t="shared" ref="Q9:Q15" si="6">B9</f>
        <v>用途</v>
      </c>
      <c r="R9" s="699" t="s">
        <v>14</v>
      </c>
      <c r="S9" s="700">
        <f t="shared" si="0"/>
        <v>100</v>
      </c>
      <c r="T9" s="699" t="s">
        <v>14</v>
      </c>
      <c r="U9" s="700">
        <f t="shared" si="1"/>
        <v>100</v>
      </c>
      <c r="V9" s="699" t="s">
        <v>14</v>
      </c>
      <c r="W9" s="700">
        <f t="shared" si="2"/>
        <v>100</v>
      </c>
      <c r="X9" s="701"/>
      <c r="Y9" s="3550" t="s">
        <v>1687</v>
      </c>
      <c r="Z9" s="52" t="str">
        <f t="shared" ref="Z9:Z15" si="7">Q9</f>
        <v>用途</v>
      </c>
      <c r="AA9" s="702">
        <f t="shared" si="3"/>
        <v>1</v>
      </c>
      <c r="AB9" s="702">
        <f t="shared" si="4"/>
        <v>1</v>
      </c>
      <c r="AC9" s="702">
        <f t="shared" si="5"/>
        <v>1</v>
      </c>
    </row>
    <row r="10" spans="1:29" s="376" customFormat="1" ht="28.8">
      <c r="A10" s="372"/>
      <c r="B10" s="373" t="s">
        <v>1688</v>
      </c>
      <c r="C10" s="3434"/>
      <c r="D10" s="125">
        <v>100</v>
      </c>
      <c r="E10" s="3434"/>
      <c r="F10" s="125">
        <f>SUMIF(59:59,E10,60:60)-SUMIF(59:59,C10,60:60)+100</f>
        <v>100</v>
      </c>
      <c r="G10" s="3435"/>
      <c r="H10" s="125">
        <f>SUMIF(59:59,G10,60:60)-SUMIF(59:59,C10,60:60)+100</f>
        <v>100</v>
      </c>
      <c r="I10" s="3434"/>
      <c r="J10" s="125">
        <f>SUMIF(59:59,I10,60:60)-SUMIF(59:59,C10,60:60)+100</f>
        <v>100</v>
      </c>
      <c r="K10" s="558"/>
      <c r="L10" s="915"/>
      <c r="M10" s="916"/>
      <c r="N10" s="916"/>
      <c r="O10" s="917"/>
      <c r="P10" s="3694"/>
      <c r="Q10" s="1340" t="str">
        <f t="shared" si="6"/>
        <v>土地使用年限（年）</v>
      </c>
      <c r="R10" s="699" t="s">
        <v>14</v>
      </c>
      <c r="S10" s="700">
        <f t="shared" si="0"/>
        <v>100</v>
      </c>
      <c r="T10" s="699" t="s">
        <v>14</v>
      </c>
      <c r="U10" s="700">
        <f t="shared" si="1"/>
        <v>100</v>
      </c>
      <c r="V10" s="699" t="s">
        <v>14</v>
      </c>
      <c r="W10" s="700">
        <f t="shared" si="2"/>
        <v>100</v>
      </c>
      <c r="X10" s="701"/>
      <c r="Y10" s="3550"/>
      <c r="Z10" s="52" t="str">
        <f t="shared" si="7"/>
        <v>土地使用年限（年）</v>
      </c>
      <c r="AA10" s="702">
        <f t="shared" si="3"/>
        <v>1</v>
      </c>
      <c r="AB10" s="702">
        <f t="shared" si="4"/>
        <v>1</v>
      </c>
      <c r="AC10" s="702">
        <f t="shared" si="5"/>
        <v>1</v>
      </c>
    </row>
    <row r="11" spans="1:29" ht="15">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8"/>
      <c r="M11" s="911"/>
      <c r="N11" s="911"/>
      <c r="O11" s="919"/>
      <c r="P11" s="3694"/>
      <c r="Q11" s="1340" t="str">
        <f t="shared" si="6"/>
        <v>容积率</v>
      </c>
      <c r="R11" s="699" t="s">
        <v>14</v>
      </c>
      <c r="S11" s="700">
        <f t="shared" si="0"/>
        <v>100</v>
      </c>
      <c r="T11" s="699" t="s">
        <v>14</v>
      </c>
      <c r="U11" s="700">
        <f t="shared" si="1"/>
        <v>100</v>
      </c>
      <c r="V11" s="699" t="s">
        <v>14</v>
      </c>
      <c r="W11" s="700">
        <f t="shared" si="2"/>
        <v>100</v>
      </c>
      <c r="X11" s="701"/>
      <c r="Y11" s="3550"/>
      <c r="Z11" s="52" t="str">
        <f t="shared" si="7"/>
        <v>容积率</v>
      </c>
      <c r="AA11" s="702">
        <f t="shared" si="3"/>
        <v>1</v>
      </c>
      <c r="AB11" s="702">
        <f t="shared" si="4"/>
        <v>1</v>
      </c>
      <c r="AC11" s="702">
        <f t="shared" si="5"/>
        <v>1</v>
      </c>
    </row>
    <row r="12" spans="1:29" s="107" customFormat="1" ht="15">
      <c r="A12" s="380"/>
      <c r="B12" s="1890">
        <v>111</v>
      </c>
      <c r="C12" s="381"/>
      <c r="D12" s="382">
        <v>100</v>
      </c>
      <c r="E12" s="383"/>
      <c r="F12" s="125">
        <f>SUMIF(64:64,E12,65:65)-SUMIF(64:64,C12,65:65)+100</f>
        <v>100</v>
      </c>
      <c r="G12" s="1967"/>
      <c r="H12" s="125">
        <f>SUMIF(64:64,G12,65:65)-SUMIF(64:64,C12,65:65)+100</f>
        <v>100</v>
      </c>
      <c r="I12" s="418"/>
      <c r="J12" s="125">
        <f>SUMIF(64:64,I12,65:65)-SUMIF(64:64,C12,65:65)+100</f>
        <v>100</v>
      </c>
      <c r="K12" s="560"/>
      <c r="L12" s="912"/>
      <c r="M12" s="913"/>
      <c r="N12" s="913"/>
      <c r="O12" s="914"/>
      <c r="P12" s="3694"/>
      <c r="Q12" s="1340">
        <f t="shared" si="6"/>
        <v>111</v>
      </c>
      <c r="R12" s="699" t="s">
        <v>14</v>
      </c>
      <c r="S12" s="700">
        <f t="shared" si="0"/>
        <v>100</v>
      </c>
      <c r="T12" s="699" t="s">
        <v>14</v>
      </c>
      <c r="U12" s="700">
        <f t="shared" si="1"/>
        <v>100</v>
      </c>
      <c r="V12" s="699" t="s">
        <v>14</v>
      </c>
      <c r="W12" s="700">
        <f t="shared" si="2"/>
        <v>100</v>
      </c>
      <c r="X12" s="701"/>
      <c r="Y12" s="3550"/>
      <c r="Z12" s="52">
        <f t="shared" si="7"/>
        <v>111</v>
      </c>
      <c r="AA12" s="702">
        <f>D12/F12</f>
        <v>1</v>
      </c>
      <c r="AB12" s="702">
        <f>D12/H12</f>
        <v>1</v>
      </c>
      <c r="AC12" s="702">
        <f>D12/J12</f>
        <v>1</v>
      </c>
    </row>
    <row r="13" spans="1:29" ht="15">
      <c r="A13" s="377"/>
      <c r="B13" s="1890">
        <v>111</v>
      </c>
      <c r="C13" s="383"/>
      <c r="D13" s="384">
        <v>100</v>
      </c>
      <c r="E13" s="383"/>
      <c r="F13" s="125">
        <f>SUMIF(66:66,E13,67:67)-SUMIF(66:66,C13,67:67)+100</f>
        <v>100</v>
      </c>
      <c r="G13" s="1967"/>
      <c r="H13" s="384">
        <f>SUMIF(66:66,G13,67:67)-SUMIF(66:66,C13,67:67)+100</f>
        <v>100</v>
      </c>
      <c r="I13" s="418"/>
      <c r="J13" s="384">
        <f>SUMIF(66:66,I13,67:67)-SUMIF(66:66,C13,67:67)+100</f>
        <v>100</v>
      </c>
      <c r="K13" s="560"/>
      <c r="L13" s="920"/>
      <c r="M13" s="911"/>
      <c r="N13" s="911"/>
      <c r="O13" s="919"/>
      <c r="P13" s="3694"/>
      <c r="Q13" s="1340">
        <f t="shared" si="6"/>
        <v>111</v>
      </c>
      <c r="R13" s="699" t="s">
        <v>14</v>
      </c>
      <c r="S13" s="700">
        <f t="shared" si="0"/>
        <v>100</v>
      </c>
      <c r="T13" s="699" t="s">
        <v>14</v>
      </c>
      <c r="U13" s="700">
        <f t="shared" si="1"/>
        <v>100</v>
      </c>
      <c r="V13" s="699" t="s">
        <v>14</v>
      </c>
      <c r="W13" s="700">
        <f t="shared" si="2"/>
        <v>100</v>
      </c>
      <c r="X13" s="701"/>
      <c r="Y13" s="3550"/>
      <c r="Z13" s="52">
        <f t="shared" si="7"/>
        <v>111</v>
      </c>
      <c r="AA13" s="702">
        <f t="shared" si="3"/>
        <v>1</v>
      </c>
      <c r="AB13" s="702">
        <f t="shared" si="4"/>
        <v>1</v>
      </c>
      <c r="AC13" s="702">
        <f t="shared" si="5"/>
        <v>1</v>
      </c>
    </row>
    <row r="14" spans="1:29" ht="15.6" thickBot="1">
      <c r="A14" s="385"/>
      <c r="B14" s="1892">
        <v>111</v>
      </c>
      <c r="C14" s="386"/>
      <c r="D14" s="387">
        <v>100</v>
      </c>
      <c r="E14" s="386"/>
      <c r="F14" s="387">
        <f>SUMIF(68:68,E14,69:69)-SUMIF(68:68,C14,69:69)+100</f>
        <v>100</v>
      </c>
      <c r="G14" s="1967"/>
      <c r="H14" s="387">
        <f>SUMIF(68:68,G14,69:69)-SUMIF(68:68,C14,69:69)+100</f>
        <v>100</v>
      </c>
      <c r="I14" s="418"/>
      <c r="J14" s="387">
        <f>SUMIF(68:68,I14,69:69)-SUMIF(68:68,C14,69:69)+100</f>
        <v>100</v>
      </c>
      <c r="K14" s="560"/>
      <c r="L14" s="920"/>
      <c r="M14" s="911"/>
      <c r="N14" s="911"/>
      <c r="O14" s="919"/>
      <c r="P14" s="3694"/>
      <c r="Q14" s="1340">
        <f t="shared" si="6"/>
        <v>111</v>
      </c>
      <c r="R14" s="699" t="s">
        <v>14</v>
      </c>
      <c r="S14" s="700">
        <f t="shared" si="0"/>
        <v>100</v>
      </c>
      <c r="T14" s="699" t="s">
        <v>14</v>
      </c>
      <c r="U14" s="700">
        <f t="shared" si="1"/>
        <v>100</v>
      </c>
      <c r="V14" s="699" t="s">
        <v>14</v>
      </c>
      <c r="W14" s="700">
        <f t="shared" si="2"/>
        <v>100</v>
      </c>
      <c r="X14" s="701"/>
      <c r="Y14" s="3550"/>
      <c r="Z14" s="52">
        <f t="shared" si="7"/>
        <v>111</v>
      </c>
      <c r="AA14" s="702">
        <f t="shared" si="3"/>
        <v>1</v>
      </c>
      <c r="AB14" s="702">
        <f t="shared" si="4"/>
        <v>1</v>
      </c>
      <c r="AC14" s="702">
        <f t="shared" si="5"/>
        <v>1</v>
      </c>
    </row>
    <row r="15" spans="1:29" ht="69">
      <c r="A15" s="389" t="s">
        <v>1690</v>
      </c>
      <c r="B15" s="61" t="s">
        <v>1827</v>
      </c>
      <c r="C15" s="1968"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920"/>
      <c r="M15" s="911"/>
      <c r="N15" s="911"/>
      <c r="O15" s="919"/>
      <c r="P15" s="3696" t="s">
        <v>1691</v>
      </c>
      <c r="Q15" s="1349" t="str">
        <f t="shared" si="6"/>
        <v>产业集聚程度</v>
      </c>
      <c r="R15" s="703" t="s">
        <v>14</v>
      </c>
      <c r="S15" s="704">
        <f t="shared" si="0"/>
        <v>100</v>
      </c>
      <c r="T15" s="703" t="s">
        <v>14</v>
      </c>
      <c r="U15" s="704">
        <f t="shared" si="1"/>
        <v>100</v>
      </c>
      <c r="V15" s="703" t="s">
        <v>14</v>
      </c>
      <c r="W15" s="704">
        <f t="shared" si="2"/>
        <v>100</v>
      </c>
      <c r="X15" s="1352"/>
      <c r="Y15" s="3696" t="s">
        <v>1691</v>
      </c>
      <c r="Z15" s="1353" t="str">
        <f t="shared" si="7"/>
        <v>产业集聚程度</v>
      </c>
      <c r="AA15" s="1350">
        <f t="shared" si="3"/>
        <v>1</v>
      </c>
      <c r="AB15" s="1350">
        <f t="shared" si="4"/>
        <v>1</v>
      </c>
      <c r="AC15" s="1350">
        <f t="shared" si="5"/>
        <v>1</v>
      </c>
    </row>
    <row r="16" spans="1:29" ht="15">
      <c r="A16" s="377"/>
      <c r="B16" s="395"/>
      <c r="C16" s="396"/>
      <c r="D16" s="397"/>
      <c r="E16" s="396"/>
      <c r="F16" s="398"/>
      <c r="G16" s="396"/>
      <c r="H16" s="399"/>
      <c r="I16" s="396"/>
      <c r="J16" s="397"/>
      <c r="K16" s="562"/>
      <c r="L16" s="920"/>
      <c r="M16" s="911"/>
      <c r="N16" s="911"/>
      <c r="O16" s="919"/>
      <c r="P16" s="3697"/>
      <c r="Q16" s="1349"/>
      <c r="R16" s="703"/>
      <c r="S16" s="704"/>
      <c r="T16" s="703"/>
      <c r="U16" s="704"/>
      <c r="V16" s="703"/>
      <c r="W16" s="704"/>
      <c r="X16" s="1352"/>
      <c r="Y16" s="3697"/>
      <c r="Z16" s="1353"/>
      <c r="AA16" s="1350">
        <v>1</v>
      </c>
      <c r="AB16" s="1350">
        <v>1</v>
      </c>
      <c r="AC16" s="1350">
        <v>1</v>
      </c>
    </row>
    <row r="17" spans="1:29" ht="96.6">
      <c r="A17" s="377"/>
      <c r="B17" s="400" t="s">
        <v>1259</v>
      </c>
      <c r="C17" s="1897"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920"/>
      <c r="M17" s="911"/>
      <c r="N17" s="911"/>
      <c r="O17" s="919"/>
      <c r="P17" s="3697"/>
      <c r="Q17" s="1349" t="str">
        <f>B17</f>
        <v>交通便捷度</v>
      </c>
      <c r="R17" s="703" t="s">
        <v>14</v>
      </c>
      <c r="S17" s="704">
        <f>F17</f>
        <v>100</v>
      </c>
      <c r="T17" s="703" t="s">
        <v>14</v>
      </c>
      <c r="U17" s="704">
        <f>H17</f>
        <v>100</v>
      </c>
      <c r="V17" s="703" t="s">
        <v>14</v>
      </c>
      <c r="W17" s="704">
        <f>J17</f>
        <v>100</v>
      </c>
      <c r="X17" s="1352"/>
      <c r="Y17" s="3697"/>
      <c r="Z17" s="1353" t="str">
        <f>Q17</f>
        <v>交通便捷度</v>
      </c>
      <c r="AA17" s="1350">
        <f t="shared" si="3"/>
        <v>1</v>
      </c>
      <c r="AB17" s="1350">
        <f t="shared" si="4"/>
        <v>1</v>
      </c>
      <c r="AC17" s="1350">
        <f t="shared" si="5"/>
        <v>1</v>
      </c>
    </row>
    <row r="18" spans="1:29" ht="15">
      <c r="A18" s="377"/>
      <c r="B18" s="405"/>
      <c r="C18" s="1898"/>
      <c r="D18" s="399"/>
      <c r="E18" s="1900"/>
      <c r="F18" s="402"/>
      <c r="G18" s="1899"/>
      <c r="H18" s="397"/>
      <c r="I18" s="1900"/>
      <c r="J18" s="397"/>
      <c r="K18" s="562"/>
      <c r="L18" s="920"/>
      <c r="M18" s="911"/>
      <c r="N18" s="911"/>
      <c r="O18" s="919"/>
      <c r="P18" s="3697"/>
      <c r="Q18" s="1349"/>
      <c r="R18" s="703"/>
      <c r="S18" s="704"/>
      <c r="T18" s="703"/>
      <c r="U18" s="704"/>
      <c r="V18" s="703"/>
      <c r="W18" s="704"/>
      <c r="X18" s="1352"/>
      <c r="Y18" s="3697"/>
      <c r="Z18" s="1353"/>
      <c r="AA18" s="1350">
        <v>1</v>
      </c>
      <c r="AB18" s="1350">
        <v>1</v>
      </c>
      <c r="AC18" s="1350">
        <v>1</v>
      </c>
    </row>
    <row r="19" spans="1:29" ht="41.4">
      <c r="A19" s="377"/>
      <c r="B19" s="400" t="s">
        <v>1812</v>
      </c>
      <c r="C19" s="1897"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920"/>
      <c r="M19" s="911"/>
      <c r="N19" s="911"/>
      <c r="O19" s="919"/>
      <c r="P19" s="3697"/>
      <c r="Q19" s="1349" t="str">
        <f>B19</f>
        <v>公共配套设施</v>
      </c>
      <c r="R19" s="703" t="s">
        <v>14</v>
      </c>
      <c r="S19" s="704">
        <f>F19</f>
        <v>100</v>
      </c>
      <c r="T19" s="703" t="s">
        <v>14</v>
      </c>
      <c r="U19" s="704">
        <f>H19</f>
        <v>100</v>
      </c>
      <c r="V19" s="703" t="s">
        <v>14</v>
      </c>
      <c r="W19" s="704">
        <f>J19</f>
        <v>100</v>
      </c>
      <c r="X19" s="1352"/>
      <c r="Y19" s="3697"/>
      <c r="Z19" s="1353" t="str">
        <f>Q19</f>
        <v>公共配套设施</v>
      </c>
      <c r="AA19" s="1350">
        <f t="shared" si="3"/>
        <v>1</v>
      </c>
      <c r="AB19" s="1350">
        <f t="shared" si="4"/>
        <v>1</v>
      </c>
      <c r="AC19" s="1350">
        <f t="shared" si="5"/>
        <v>1</v>
      </c>
    </row>
    <row r="20" spans="1:29" ht="15">
      <c r="A20" s="377"/>
      <c r="B20" s="405"/>
      <c r="C20" s="396"/>
      <c r="D20" s="397"/>
      <c r="E20" s="1895"/>
      <c r="F20" s="398"/>
      <c r="G20" s="1894"/>
      <c r="H20" s="397"/>
      <c r="I20" s="1895"/>
      <c r="J20" s="397"/>
      <c r="K20" s="562"/>
      <c r="L20" s="920"/>
      <c r="M20" s="911"/>
      <c r="N20" s="911"/>
      <c r="O20" s="919"/>
      <c r="P20" s="3697"/>
      <c r="Q20" s="1349"/>
      <c r="R20" s="703"/>
      <c r="S20" s="704"/>
      <c r="T20" s="703"/>
      <c r="U20" s="704"/>
      <c r="V20" s="703"/>
      <c r="W20" s="704"/>
      <c r="X20" s="1352"/>
      <c r="Y20" s="3697"/>
      <c r="Z20" s="1353"/>
      <c r="AA20" s="1350">
        <v>1</v>
      </c>
      <c r="AB20" s="1350">
        <v>1</v>
      </c>
      <c r="AC20" s="1350">
        <v>1</v>
      </c>
    </row>
    <row r="21" spans="1:29" ht="41.4">
      <c r="A21" s="377"/>
      <c r="B21" s="1128" t="s">
        <v>1813</v>
      </c>
      <c r="C21" s="1897"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920"/>
      <c r="M21" s="911"/>
      <c r="N21" s="911"/>
      <c r="O21" s="919"/>
      <c r="P21" s="3697"/>
      <c r="Q21" s="1349" t="str">
        <f>B21</f>
        <v>基础设施水平</v>
      </c>
      <c r="R21" s="703" t="s">
        <v>14</v>
      </c>
      <c r="S21" s="704">
        <f>F21</f>
        <v>100</v>
      </c>
      <c r="T21" s="703" t="s">
        <v>14</v>
      </c>
      <c r="U21" s="704">
        <f>H21</f>
        <v>100</v>
      </c>
      <c r="V21" s="703" t="s">
        <v>14</v>
      </c>
      <c r="W21" s="704">
        <f>J21</f>
        <v>100</v>
      </c>
      <c r="X21" s="1352"/>
      <c r="Y21" s="3697"/>
      <c r="Z21" s="1353" t="str">
        <f>Q21</f>
        <v>基础设施水平</v>
      </c>
      <c r="AA21" s="1350">
        <f t="shared" ref="AA21" si="8">D21/F21</f>
        <v>1</v>
      </c>
      <c r="AB21" s="1350">
        <f t="shared" ref="AB21" si="9">D21/H21</f>
        <v>1</v>
      </c>
      <c r="AC21" s="1350">
        <f t="shared" ref="AC21" si="10">D21/J21</f>
        <v>1</v>
      </c>
    </row>
    <row r="22" spans="1:29" ht="15">
      <c r="A22" s="377"/>
      <c r="B22" s="1128"/>
      <c r="C22" s="1898"/>
      <c r="D22" s="397"/>
      <c r="E22" s="396"/>
      <c r="F22" s="398"/>
      <c r="G22" s="396"/>
      <c r="H22" s="397"/>
      <c r="I22" s="396"/>
      <c r="J22" s="397"/>
      <c r="K22" s="1127"/>
      <c r="L22" s="920"/>
      <c r="M22" s="911"/>
      <c r="N22" s="911"/>
      <c r="O22" s="919"/>
      <c r="P22" s="3697"/>
      <c r="Q22" s="1349"/>
      <c r="R22" s="703"/>
      <c r="S22" s="704"/>
      <c r="T22" s="703"/>
      <c r="U22" s="704"/>
      <c r="V22" s="703"/>
      <c r="W22" s="704"/>
      <c r="X22" s="1352"/>
      <c r="Y22" s="3697"/>
      <c r="Z22" s="1353"/>
      <c r="AA22" s="1350">
        <v>1</v>
      </c>
      <c r="AB22" s="1350">
        <v>1</v>
      </c>
      <c r="AC22" s="1350">
        <v>1</v>
      </c>
    </row>
    <row r="23" spans="1:29" ht="82.8">
      <c r="A23" s="377"/>
      <c r="B23" s="400" t="s">
        <v>1814</v>
      </c>
      <c r="C23" s="1897"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920"/>
      <c r="M23" s="911"/>
      <c r="N23" s="911"/>
      <c r="O23" s="919"/>
      <c r="P23" s="3697"/>
      <c r="Q23" s="1349" t="str">
        <f>B23</f>
        <v>环境质量</v>
      </c>
      <c r="R23" s="703" t="s">
        <v>14</v>
      </c>
      <c r="S23" s="704">
        <f>F23</f>
        <v>100</v>
      </c>
      <c r="T23" s="703" t="s">
        <v>14</v>
      </c>
      <c r="U23" s="704">
        <f>H23</f>
        <v>100</v>
      </c>
      <c r="V23" s="703" t="s">
        <v>14</v>
      </c>
      <c r="W23" s="704">
        <f>J23</f>
        <v>100</v>
      </c>
      <c r="X23" s="1352"/>
      <c r="Y23" s="3697"/>
      <c r="Z23" s="1353" t="str">
        <f>Q23</f>
        <v>环境质量</v>
      </c>
      <c r="AA23" s="1350">
        <f t="shared" si="3"/>
        <v>1</v>
      </c>
      <c r="AB23" s="1350">
        <f t="shared" si="4"/>
        <v>1</v>
      </c>
      <c r="AC23" s="1350">
        <f t="shared" si="5"/>
        <v>1</v>
      </c>
    </row>
    <row r="24" spans="1:29" ht="15">
      <c r="A24" s="377"/>
      <c r="B24" s="1128"/>
      <c r="C24" s="396"/>
      <c r="D24" s="397"/>
      <c r="E24" s="1895"/>
      <c r="F24" s="398"/>
      <c r="G24" s="1894"/>
      <c r="H24" s="397"/>
      <c r="I24" s="1895"/>
      <c r="J24" s="397"/>
      <c r="K24" s="562"/>
      <c r="L24" s="920"/>
      <c r="M24" s="911"/>
      <c r="N24" s="911"/>
      <c r="O24" s="919"/>
      <c r="P24" s="3697"/>
      <c r="Q24" s="1349"/>
      <c r="R24" s="703"/>
      <c r="S24" s="704"/>
      <c r="T24" s="703"/>
      <c r="U24" s="704"/>
      <c r="V24" s="703"/>
      <c r="W24" s="704"/>
      <c r="X24" s="1352"/>
      <c r="Y24" s="3697"/>
      <c r="Z24" s="1353"/>
      <c r="AA24" s="1350">
        <v>1</v>
      </c>
      <c r="AB24" s="1350">
        <v>1</v>
      </c>
      <c r="AC24" s="1350">
        <v>1</v>
      </c>
    </row>
    <row r="25" spans="1:29" ht="15">
      <c r="A25" s="356"/>
      <c r="B25" s="1130">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20"/>
      <c r="M25" s="911"/>
      <c r="N25" s="911"/>
      <c r="O25" s="919"/>
      <c r="P25" s="3697"/>
      <c r="Q25" s="1349">
        <f>B25</f>
        <v>111</v>
      </c>
      <c r="R25" s="703" t="s">
        <v>14</v>
      </c>
      <c r="S25" s="704">
        <f>F25</f>
        <v>100</v>
      </c>
      <c r="T25" s="703" t="s">
        <v>14</v>
      </c>
      <c r="U25" s="704">
        <f>H25</f>
        <v>100</v>
      </c>
      <c r="V25" s="703" t="s">
        <v>14</v>
      </c>
      <c r="W25" s="704">
        <f>J25</f>
        <v>100</v>
      </c>
      <c r="X25" s="1352"/>
      <c r="Y25" s="3697"/>
      <c r="Z25" s="1353">
        <f>Q25</f>
        <v>111</v>
      </c>
      <c r="AA25" s="1350">
        <f t="shared" si="3"/>
        <v>1</v>
      </c>
      <c r="AB25" s="1350">
        <f t="shared" si="4"/>
        <v>1</v>
      </c>
      <c r="AC25" s="1350">
        <f t="shared" si="5"/>
        <v>1</v>
      </c>
    </row>
    <row r="26" spans="1:29" ht="15">
      <c r="A26" s="377"/>
      <c r="B26" s="1130">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20"/>
      <c r="M26" s="911"/>
      <c r="N26" s="911"/>
      <c r="O26" s="919"/>
      <c r="P26" s="3697"/>
      <c r="Q26" s="1349">
        <f t="shared" ref="Q26:Q40" si="11">B26</f>
        <v>111</v>
      </c>
      <c r="R26" s="703" t="s">
        <v>14</v>
      </c>
      <c r="S26" s="704">
        <f>F26</f>
        <v>100</v>
      </c>
      <c r="T26" s="703" t="s">
        <v>14</v>
      </c>
      <c r="U26" s="704">
        <f>H26</f>
        <v>100</v>
      </c>
      <c r="V26" s="703" t="s">
        <v>14</v>
      </c>
      <c r="W26" s="704">
        <f>J26</f>
        <v>100</v>
      </c>
      <c r="X26" s="1352"/>
      <c r="Y26" s="3697"/>
      <c r="Z26" s="1353">
        <f>Q26</f>
        <v>111</v>
      </c>
      <c r="AA26" s="1350">
        <f t="shared" si="3"/>
        <v>1</v>
      </c>
      <c r="AB26" s="1350">
        <f t="shared" si="4"/>
        <v>1</v>
      </c>
      <c r="AC26" s="1350">
        <f t="shared" si="5"/>
        <v>1</v>
      </c>
    </row>
    <row r="27" spans="1:29" s="107" customFormat="1" ht="15">
      <c r="A27" s="380"/>
      <c r="B27" s="1130">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2"/>
      <c r="M27" s="913"/>
      <c r="N27" s="913"/>
      <c r="O27" s="914"/>
      <c r="P27" s="3697"/>
      <c r="Q27" s="1340">
        <f t="shared" si="11"/>
        <v>111</v>
      </c>
      <c r="R27" s="699" t="s">
        <v>14</v>
      </c>
      <c r="S27" s="700">
        <f>F27</f>
        <v>100</v>
      </c>
      <c r="T27" s="699" t="s">
        <v>14</v>
      </c>
      <c r="U27" s="700">
        <f>H27</f>
        <v>100</v>
      </c>
      <c r="V27" s="699" t="s">
        <v>14</v>
      </c>
      <c r="W27" s="700">
        <f>J27</f>
        <v>100</v>
      </c>
      <c r="X27" s="701"/>
      <c r="Y27" s="3697"/>
      <c r="Z27" s="52">
        <f>Q27</f>
        <v>111</v>
      </c>
      <c r="AA27" s="1350">
        <f>D27/F27</f>
        <v>1</v>
      </c>
      <c r="AB27" s="1350">
        <f>D27/H27</f>
        <v>1</v>
      </c>
      <c r="AC27" s="1350">
        <f>D27/J27</f>
        <v>1</v>
      </c>
    </row>
    <row r="28" spans="1:29" ht="15.6" thickBot="1">
      <c r="A28" s="385"/>
      <c r="B28" s="1130">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20"/>
      <c r="M28" s="911"/>
      <c r="N28" s="911"/>
      <c r="O28" s="919"/>
      <c r="P28" s="3697"/>
      <c r="Q28" s="1349">
        <f t="shared" si="11"/>
        <v>111</v>
      </c>
      <c r="R28" s="703" t="s">
        <v>14</v>
      </c>
      <c r="S28" s="704">
        <f t="shared" ref="S28:S40" si="12">F28</f>
        <v>100</v>
      </c>
      <c r="T28" s="703" t="s">
        <v>14</v>
      </c>
      <c r="U28" s="704">
        <f t="shared" ref="U28:U40" si="13">H28</f>
        <v>100</v>
      </c>
      <c r="V28" s="703" t="s">
        <v>14</v>
      </c>
      <c r="W28" s="704">
        <f t="shared" ref="W28:W40" si="14">J28</f>
        <v>100</v>
      </c>
      <c r="X28" s="1352"/>
      <c r="Y28" s="3697"/>
      <c r="Z28" s="1353">
        <f t="shared" ref="Z28:Z40" si="15">Q28</f>
        <v>111</v>
      </c>
      <c r="AA28" s="1350">
        <f t="shared" si="3"/>
        <v>1</v>
      </c>
      <c r="AB28" s="1350">
        <f t="shared" si="4"/>
        <v>1</v>
      </c>
      <c r="AC28" s="1350">
        <f t="shared" si="5"/>
        <v>1</v>
      </c>
    </row>
    <row r="29" spans="1:29" ht="30">
      <c r="A29" s="415" t="s">
        <v>1694</v>
      </c>
      <c r="B29" s="63" t="s">
        <v>1817</v>
      </c>
      <c r="C29" s="1964"/>
      <c r="D29" s="416">
        <v>100</v>
      </c>
      <c r="E29" s="1964"/>
      <c r="F29" s="410">
        <f>SUMIF(88:88,E29,89:89)-SUMIF(88:88,C29,89:89)+100</f>
        <v>100</v>
      </c>
      <c r="G29" s="1964"/>
      <c r="H29" s="384">
        <f>SUMIF(88:88,G29,89:89)-SUMIF(88:88,C29,89:89)+100</f>
        <v>100</v>
      </c>
      <c r="I29" s="1964"/>
      <c r="J29" s="416">
        <f>SUMIF(88:88,I29,89:89)-SUMIF(88:88,C29,89:89)+100</f>
        <v>100</v>
      </c>
      <c r="K29" s="559"/>
      <c r="L29" s="920"/>
      <c r="M29" s="911"/>
      <c r="N29" s="911"/>
      <c r="O29" s="919"/>
      <c r="P29" s="3752" t="s">
        <v>1696</v>
      </c>
      <c r="Q29" s="1349" t="str">
        <f t="shared" si="11"/>
        <v>建筑类型</v>
      </c>
      <c r="R29" s="703" t="s">
        <v>14</v>
      </c>
      <c r="S29" s="704">
        <f t="shared" si="12"/>
        <v>100</v>
      </c>
      <c r="T29" s="703" t="s">
        <v>14</v>
      </c>
      <c r="U29" s="704">
        <f t="shared" si="13"/>
        <v>100</v>
      </c>
      <c r="V29" s="703" t="s">
        <v>14</v>
      </c>
      <c r="W29" s="704">
        <f t="shared" si="14"/>
        <v>100</v>
      </c>
      <c r="X29" s="1352"/>
      <c r="Y29" s="3701" t="s">
        <v>1696</v>
      </c>
      <c r="Z29" s="1353" t="str">
        <f t="shared" si="15"/>
        <v>建筑类型</v>
      </c>
      <c r="AA29" s="1350">
        <f t="shared" si="3"/>
        <v>1</v>
      </c>
      <c r="AB29" s="1350">
        <f t="shared" si="4"/>
        <v>1</v>
      </c>
      <c r="AC29" s="1350">
        <f t="shared" si="5"/>
        <v>1</v>
      </c>
    </row>
    <row r="30" spans="1:29" s="420" customFormat="1" ht="15">
      <c r="A30" s="417"/>
      <c r="B30" s="373" t="s">
        <v>1697</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8"/>
      <c r="M30" s="921"/>
      <c r="N30" s="921"/>
      <c r="O30" s="922"/>
      <c r="P30" s="3701"/>
      <c r="Q30" s="705" t="str">
        <f t="shared" si="11"/>
        <v>项目建筑规模</v>
      </c>
      <c r="R30" s="706" t="s">
        <v>14</v>
      </c>
      <c r="S30" s="707" t="e">
        <f t="shared" si="12"/>
        <v>#N/A</v>
      </c>
      <c r="T30" s="706" t="s">
        <v>14</v>
      </c>
      <c r="U30" s="707" t="e">
        <f t="shared" si="13"/>
        <v>#N/A</v>
      </c>
      <c r="V30" s="706" t="s">
        <v>14</v>
      </c>
      <c r="W30" s="707" t="e">
        <f t="shared" si="14"/>
        <v>#N/A</v>
      </c>
      <c r="X30" s="708"/>
      <c r="Y30" s="3701"/>
      <c r="Z30" s="709" t="str">
        <f t="shared" si="15"/>
        <v>项目建筑规模</v>
      </c>
      <c r="AA30" s="1350" t="e">
        <f t="shared" si="3"/>
        <v>#N/A</v>
      </c>
      <c r="AB30" s="1350" t="e">
        <f t="shared" si="4"/>
        <v>#N/A</v>
      </c>
      <c r="AC30" s="1350"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20"/>
      <c r="M31" s="911"/>
      <c r="N31" s="911"/>
      <c r="O31" s="919"/>
      <c r="P31" s="3701"/>
      <c r="Q31" s="1349" t="str">
        <f t="shared" si="11"/>
        <v>建筑结构</v>
      </c>
      <c r="R31" s="703" t="s">
        <v>14</v>
      </c>
      <c r="S31" s="704">
        <f t="shared" si="12"/>
        <v>100</v>
      </c>
      <c r="T31" s="703" t="s">
        <v>14</v>
      </c>
      <c r="U31" s="704">
        <f t="shared" si="13"/>
        <v>100</v>
      </c>
      <c r="V31" s="703" t="s">
        <v>14</v>
      </c>
      <c r="W31" s="704">
        <f t="shared" si="14"/>
        <v>100</v>
      </c>
      <c r="X31" s="1352"/>
      <c r="Y31" s="3701"/>
      <c r="Z31" s="1353" t="str">
        <f t="shared" si="15"/>
        <v>建筑结构</v>
      </c>
      <c r="AA31" s="1350">
        <f t="shared" si="3"/>
        <v>1</v>
      </c>
      <c r="AB31" s="1350">
        <f t="shared" si="4"/>
        <v>1</v>
      </c>
      <c r="AC31" s="1350">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20"/>
      <c r="M32" s="911"/>
      <c r="N32" s="911"/>
      <c r="O32" s="919"/>
      <c r="P32" s="3701"/>
      <c r="Q32" s="1349" t="str">
        <f t="shared" si="11"/>
        <v>公共部分装修</v>
      </c>
      <c r="R32" s="703" t="s">
        <v>14</v>
      </c>
      <c r="S32" s="704">
        <f t="shared" si="12"/>
        <v>100</v>
      </c>
      <c r="T32" s="703" t="s">
        <v>14</v>
      </c>
      <c r="U32" s="704">
        <f t="shared" si="13"/>
        <v>100</v>
      </c>
      <c r="V32" s="703" t="s">
        <v>14</v>
      </c>
      <c r="W32" s="704">
        <f t="shared" si="14"/>
        <v>100</v>
      </c>
      <c r="X32" s="1352"/>
      <c r="Y32" s="3701"/>
      <c r="Z32" s="1353" t="str">
        <f t="shared" si="15"/>
        <v>公共部分装修</v>
      </c>
      <c r="AA32" s="1350">
        <f t="shared" si="3"/>
        <v>1</v>
      </c>
      <c r="AB32" s="1350">
        <f t="shared" si="4"/>
        <v>1</v>
      </c>
      <c r="AC32" s="1350">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20"/>
      <c r="M33" s="911"/>
      <c r="N33" s="911"/>
      <c r="O33" s="919"/>
      <c r="P33" s="3701"/>
      <c r="Q33" s="1349" t="str">
        <f t="shared" si="11"/>
        <v>成新度</v>
      </c>
      <c r="R33" s="703" t="s">
        <v>14</v>
      </c>
      <c r="S33" s="704" t="e">
        <f t="shared" si="12"/>
        <v>#N/A</v>
      </c>
      <c r="T33" s="703" t="s">
        <v>14</v>
      </c>
      <c r="U33" s="704" t="e">
        <f t="shared" si="13"/>
        <v>#N/A</v>
      </c>
      <c r="V33" s="703" t="s">
        <v>14</v>
      </c>
      <c r="W33" s="704" t="e">
        <f t="shared" si="14"/>
        <v>#N/A</v>
      </c>
      <c r="X33" s="1352"/>
      <c r="Y33" s="3701"/>
      <c r="Z33" s="1353" t="str">
        <f t="shared" si="15"/>
        <v>成新度</v>
      </c>
      <c r="AA33" s="1350" t="e">
        <f t="shared" si="3"/>
        <v>#N/A</v>
      </c>
      <c r="AB33" s="1350" t="e">
        <f t="shared" si="4"/>
        <v>#N/A</v>
      </c>
      <c r="AC33" s="1350" t="e">
        <f t="shared" si="5"/>
        <v>#N/A</v>
      </c>
    </row>
    <row r="34" spans="1:29" s="107" customFormat="1" ht="15">
      <c r="A34" s="422"/>
      <c r="B34" s="373" t="s">
        <v>1819</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12"/>
      <c r="M34" s="913"/>
      <c r="N34" s="913"/>
      <c r="O34" s="914"/>
      <c r="P34" s="3701"/>
      <c r="Q34" s="1340" t="str">
        <f t="shared" si="11"/>
        <v>物业管理</v>
      </c>
      <c r="R34" s="699" t="s">
        <v>14</v>
      </c>
      <c r="S34" s="700">
        <f t="shared" si="12"/>
        <v>100</v>
      </c>
      <c r="T34" s="699" t="s">
        <v>14</v>
      </c>
      <c r="U34" s="700">
        <f t="shared" si="13"/>
        <v>100</v>
      </c>
      <c r="V34" s="699" t="s">
        <v>14</v>
      </c>
      <c r="W34" s="700">
        <f t="shared" si="14"/>
        <v>100</v>
      </c>
      <c r="X34" s="701"/>
      <c r="Y34" s="3701"/>
      <c r="Z34" s="52" t="str">
        <f t="shared" si="15"/>
        <v>物业管理</v>
      </c>
      <c r="AA34" s="702">
        <f t="shared" si="3"/>
        <v>1</v>
      </c>
      <c r="AB34" s="702">
        <f t="shared" si="4"/>
        <v>1</v>
      </c>
      <c r="AC34" s="702">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20"/>
      <c r="M35" s="911"/>
      <c r="N35" s="911"/>
      <c r="O35" s="919"/>
      <c r="P35" s="3701" t="s">
        <v>1696</v>
      </c>
      <c r="Q35" s="1349" t="str">
        <f t="shared" si="11"/>
        <v>市政基础设施</v>
      </c>
      <c r="R35" s="703" t="s">
        <v>14</v>
      </c>
      <c r="S35" s="704">
        <f t="shared" si="12"/>
        <v>100</v>
      </c>
      <c r="T35" s="703" t="s">
        <v>14</v>
      </c>
      <c r="U35" s="704">
        <f t="shared" si="13"/>
        <v>100</v>
      </c>
      <c r="V35" s="703" t="s">
        <v>14</v>
      </c>
      <c r="W35" s="704">
        <f t="shared" si="14"/>
        <v>100</v>
      </c>
      <c r="X35" s="1352"/>
      <c r="Y35" s="3701" t="s">
        <v>1696</v>
      </c>
      <c r="Z35" s="1353" t="str">
        <f t="shared" si="15"/>
        <v>市政基础设施</v>
      </c>
      <c r="AA35" s="1350">
        <f t="shared" si="3"/>
        <v>1</v>
      </c>
      <c r="AB35" s="1350">
        <f t="shared" si="4"/>
        <v>1</v>
      </c>
      <c r="AC35" s="1350">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20"/>
      <c r="M36" s="911"/>
      <c r="N36" s="911"/>
      <c r="O36" s="919"/>
      <c r="P36" s="3701"/>
      <c r="Q36" s="1349" t="str">
        <f t="shared" si="11"/>
        <v>内部装修</v>
      </c>
      <c r="R36" s="703" t="s">
        <v>14</v>
      </c>
      <c r="S36" s="704">
        <f t="shared" si="12"/>
        <v>100</v>
      </c>
      <c r="T36" s="703" t="s">
        <v>14</v>
      </c>
      <c r="U36" s="704">
        <f t="shared" si="13"/>
        <v>100</v>
      </c>
      <c r="V36" s="703" t="s">
        <v>14</v>
      </c>
      <c r="W36" s="704">
        <f t="shared" si="14"/>
        <v>100</v>
      </c>
      <c r="X36" s="1352"/>
      <c r="Y36" s="3701"/>
      <c r="Z36" s="1353" t="str">
        <f t="shared" si="15"/>
        <v>内部装修</v>
      </c>
      <c r="AA36" s="1350">
        <f t="shared" si="3"/>
        <v>1</v>
      </c>
      <c r="AB36" s="1350">
        <f t="shared" si="4"/>
        <v>1</v>
      </c>
      <c r="AC36" s="1350">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20"/>
      <c r="M37" s="911"/>
      <c r="N37" s="911"/>
      <c r="O37" s="919"/>
      <c r="P37" s="3701"/>
      <c r="Q37" s="1349" t="str">
        <f t="shared" si="11"/>
        <v>内部装修状况</v>
      </c>
      <c r="R37" s="703" t="s">
        <v>14</v>
      </c>
      <c r="S37" s="704">
        <f t="shared" si="12"/>
        <v>100</v>
      </c>
      <c r="T37" s="703" t="s">
        <v>14</v>
      </c>
      <c r="U37" s="704">
        <f t="shared" si="13"/>
        <v>100</v>
      </c>
      <c r="V37" s="703" t="s">
        <v>14</v>
      </c>
      <c r="W37" s="704">
        <f t="shared" si="14"/>
        <v>100</v>
      </c>
      <c r="X37" s="1352"/>
      <c r="Y37" s="3701"/>
      <c r="Z37" s="1353" t="str">
        <f t="shared" si="15"/>
        <v>内部装修状况</v>
      </c>
      <c r="AA37" s="1350">
        <f t="shared" si="3"/>
        <v>1</v>
      </c>
      <c r="AB37" s="1350">
        <f t="shared" si="4"/>
        <v>1</v>
      </c>
      <c r="AC37" s="1350">
        <f t="shared" si="5"/>
        <v>1</v>
      </c>
    </row>
    <row r="38" spans="1:29" s="420" customFormat="1" ht="15">
      <c r="A38" s="417"/>
      <c r="B38" s="1130">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8"/>
      <c r="M38" s="921"/>
      <c r="N38" s="921"/>
      <c r="O38" s="922"/>
      <c r="P38" s="3701"/>
      <c r="Q38" s="705">
        <f t="shared" si="11"/>
        <v>111</v>
      </c>
      <c r="R38" s="706" t="s">
        <v>14</v>
      </c>
      <c r="S38" s="707">
        <f t="shared" si="12"/>
        <v>100</v>
      </c>
      <c r="T38" s="706" t="s">
        <v>14</v>
      </c>
      <c r="U38" s="707">
        <f t="shared" si="13"/>
        <v>100</v>
      </c>
      <c r="V38" s="706" t="s">
        <v>14</v>
      </c>
      <c r="W38" s="707">
        <f t="shared" si="14"/>
        <v>100</v>
      </c>
      <c r="X38" s="708"/>
      <c r="Y38" s="3701"/>
      <c r="Z38" s="709">
        <f t="shared" si="15"/>
        <v>111</v>
      </c>
      <c r="AA38" s="1350">
        <f t="shared" si="3"/>
        <v>1</v>
      </c>
      <c r="AB38" s="1350">
        <f t="shared" si="4"/>
        <v>1</v>
      </c>
      <c r="AC38" s="1350">
        <f t="shared" si="5"/>
        <v>1</v>
      </c>
    </row>
    <row r="39" spans="1:29" ht="15">
      <c r="A39" s="421"/>
      <c r="B39" s="1130">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20"/>
      <c r="M39" s="911"/>
      <c r="N39" s="911"/>
      <c r="O39" s="919"/>
      <c r="P39" s="3701"/>
      <c r="Q39" s="1349">
        <f t="shared" si="11"/>
        <v>111</v>
      </c>
      <c r="R39" s="703" t="s">
        <v>14</v>
      </c>
      <c r="S39" s="704">
        <f t="shared" si="12"/>
        <v>100</v>
      </c>
      <c r="T39" s="703" t="s">
        <v>14</v>
      </c>
      <c r="U39" s="704">
        <f t="shared" si="13"/>
        <v>100</v>
      </c>
      <c r="V39" s="703" t="s">
        <v>14</v>
      </c>
      <c r="W39" s="704">
        <f t="shared" si="14"/>
        <v>100</v>
      </c>
      <c r="X39" s="1352"/>
      <c r="Y39" s="3701"/>
      <c r="Z39" s="1353">
        <f t="shared" si="15"/>
        <v>111</v>
      </c>
      <c r="AA39" s="1350">
        <f t="shared" si="3"/>
        <v>1</v>
      </c>
      <c r="AB39" s="1350">
        <f t="shared" si="4"/>
        <v>1</v>
      </c>
      <c r="AC39" s="1350">
        <f t="shared" si="5"/>
        <v>1</v>
      </c>
    </row>
    <row r="40" spans="1:29" ht="15.6" thickBot="1">
      <c r="A40" s="427"/>
      <c r="B40" s="1892">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20"/>
      <c r="M40" s="911"/>
      <c r="N40" s="911"/>
      <c r="O40" s="919"/>
      <c r="P40" s="3702"/>
      <c r="Q40" s="1349">
        <f t="shared" si="11"/>
        <v>111</v>
      </c>
      <c r="R40" s="703" t="s">
        <v>14</v>
      </c>
      <c r="S40" s="704">
        <f t="shared" si="12"/>
        <v>100</v>
      </c>
      <c r="T40" s="703" t="s">
        <v>14</v>
      </c>
      <c r="U40" s="704">
        <f t="shared" si="13"/>
        <v>100</v>
      </c>
      <c r="V40" s="703" t="s">
        <v>14</v>
      </c>
      <c r="W40" s="704">
        <f t="shared" si="14"/>
        <v>100</v>
      </c>
      <c r="X40" s="1352"/>
      <c r="Y40" s="3702"/>
      <c r="Z40" s="1353">
        <f t="shared" si="15"/>
        <v>111</v>
      </c>
      <c r="AA40" s="1350">
        <f t="shared" si="3"/>
        <v>1</v>
      </c>
      <c r="AB40" s="1350">
        <f t="shared" si="4"/>
        <v>1</v>
      </c>
      <c r="AC40" s="1350">
        <f t="shared" si="5"/>
        <v>1</v>
      </c>
    </row>
    <row r="41" spans="1:29" ht="14.4">
      <c r="A41" s="428" t="s">
        <v>1708</v>
      </c>
      <c r="B41" s="429"/>
      <c r="C41" s="1151" t="s">
        <v>0</v>
      </c>
      <c r="D41" s="1152"/>
      <c r="E41" s="1153"/>
      <c r="F41" s="1154"/>
      <c r="G41" s="1155"/>
      <c r="H41" s="1156"/>
      <c r="I41" s="1153"/>
      <c r="J41" s="1156"/>
      <c r="K41" s="712"/>
      <c r="L41" s="923"/>
      <c r="M41" s="924"/>
      <c r="N41" s="911"/>
      <c r="O41" s="924"/>
      <c r="P41" s="3694" t="str">
        <f>A41</f>
        <v>成交单价（元/平方米）</v>
      </c>
      <c r="Q41" s="3694"/>
      <c r="R41" s="3695">
        <f>E41</f>
        <v>0</v>
      </c>
      <c r="S41" s="3695"/>
      <c r="T41" s="3695">
        <f>G41</f>
        <v>0</v>
      </c>
      <c r="U41" s="3695"/>
      <c r="V41" s="3695">
        <f>I41</f>
        <v>0</v>
      </c>
      <c r="W41" s="3695"/>
      <c r="X41" s="688"/>
      <c r="Y41" s="710"/>
      <c r="Z41" s="688"/>
      <c r="AA41" s="688"/>
      <c r="AB41" s="688"/>
      <c r="AC41" s="688"/>
    </row>
    <row r="42" spans="1:29" ht="15" thickBot="1">
      <c r="A42" s="435" t="s">
        <v>1793</v>
      </c>
      <c r="B42" s="436"/>
      <c r="C42" s="1157" t="e">
        <f>R43</f>
        <v>#DIV/0!</v>
      </c>
      <c r="D42" s="2314" t="s">
        <v>2138</v>
      </c>
      <c r="E42" s="1158" t="e">
        <f>R42</f>
        <v>#DIV/0!</v>
      </c>
      <c r="F42" s="2315"/>
      <c r="G42" s="1157" t="e">
        <f>T42</f>
        <v>#DIV/0!</v>
      </c>
      <c r="H42" s="2315"/>
      <c r="I42" s="1158" t="e">
        <f>V42</f>
        <v>#DIV/0!</v>
      </c>
      <c r="J42" s="2315"/>
      <c r="K42" s="2317">
        <f>F42+H42+J42</f>
        <v>0</v>
      </c>
      <c r="L42" s="923"/>
      <c r="M42" s="924"/>
      <c r="N42" s="911"/>
      <c r="O42" s="924"/>
      <c r="P42" s="3694" t="str">
        <f>A42</f>
        <v>比较价值（元/平方米）</v>
      </c>
      <c r="Q42" s="3694"/>
      <c r="R42" s="3695" t="e">
        <f>IF(F1="售价",ROUND(PRODUCT(R41,AA7:AA40),0),ROUND(PRODUCT(R41,AA7:AA40),1))</f>
        <v>#DIV/0!</v>
      </c>
      <c r="S42" s="3695"/>
      <c r="T42" s="3695" t="e">
        <f>IF(F1="售价",ROUND(PRODUCT(T41,AB7:AB40),0),ROUND(PRODUCT(T41,AB7:AB40),1))</f>
        <v>#DIV/0!</v>
      </c>
      <c r="U42" s="3695"/>
      <c r="V42" s="3695" t="e">
        <f>IF(F1="售价",ROUND(PRODUCT(V41,AC7:AC40),0),ROUND(PRODUCT(V41,AC7:AC40),1))</f>
        <v>#DIV/0!</v>
      </c>
      <c r="W42" s="3695"/>
      <c r="X42" s="688"/>
      <c r="Y42" s="688"/>
      <c r="Z42" s="688"/>
      <c r="AA42" s="688"/>
      <c r="AB42" s="688"/>
      <c r="AC42" s="688"/>
    </row>
    <row r="43" spans="1:29" ht="15" thickBot="1">
      <c r="A43" s="439" t="s">
        <v>1794</v>
      </c>
      <c r="B43" s="440"/>
      <c r="C43" s="1160" t="e">
        <f>R43</f>
        <v>#DIV/0!</v>
      </c>
      <c r="D43" s="1160"/>
      <c r="E43" s="1160"/>
      <c r="F43" s="1160"/>
      <c r="G43" s="1160"/>
      <c r="H43" s="1160"/>
      <c r="I43" s="1160"/>
      <c r="J43" s="1160"/>
      <c r="K43" s="713"/>
      <c r="L43" s="923"/>
      <c r="M43" s="924"/>
      <c r="N43" s="924"/>
      <c r="O43" s="924"/>
      <c r="P43" s="3691" t="str">
        <f>A43</f>
        <v>估价对象XX用房的比较价值（楼面单价，元/平方米）</v>
      </c>
      <c r="Q43" s="3692"/>
      <c r="R43" s="3693" t="e">
        <f>IF(F1="售价",ROUND(IF(D42="简单平均",AVERAGE(R42:V42),R42*F42+T42*H42+V42*J42),0),ROUND(IF(D42="简单平均",AVERAGE(R42:V42),R42*F42+T42*H42+V42*J42),1))</f>
        <v>#DIV/0!</v>
      </c>
      <c r="S43" s="3693"/>
      <c r="T43" s="3693"/>
      <c r="U43" s="3693"/>
      <c r="V43" s="3693"/>
      <c r="W43" s="3693"/>
      <c r="X43" s="688"/>
      <c r="Y43" s="688"/>
      <c r="Z43" s="688"/>
      <c r="AA43" s="688"/>
      <c r="AB43" s="688"/>
      <c r="AC43" s="688"/>
    </row>
    <row r="44" spans="1:29">
      <c r="A44" s="2722"/>
      <c r="B44" s="2722"/>
      <c r="C44" s="2722"/>
      <c r="D44" s="2722"/>
      <c r="E44" s="2722"/>
      <c r="F44" s="2722"/>
      <c r="G44" s="2726"/>
      <c r="H44" s="2722"/>
      <c r="I44" s="2722"/>
      <c r="J44" s="2722"/>
      <c r="K44" s="2727"/>
      <c r="L44" s="886"/>
      <c r="M44" s="924"/>
      <c r="N44" s="924"/>
      <c r="O44" s="924"/>
    </row>
    <row r="45" spans="1:29">
      <c r="A45" s="2722"/>
      <c r="B45" s="2722"/>
      <c r="C45" s="2722"/>
      <c r="D45" s="2722"/>
      <c r="E45" s="2722"/>
      <c r="F45" s="2722"/>
      <c r="G45" s="2722"/>
      <c r="H45" s="2722"/>
      <c r="I45" s="2722"/>
      <c r="J45" s="2722"/>
      <c r="K45" s="2727"/>
      <c r="L45" s="886"/>
      <c r="M45" s="924"/>
      <c r="N45" s="924"/>
      <c r="O45" s="924"/>
    </row>
    <row r="46" spans="1:29" ht="13.5" customHeight="1">
      <c r="A46" s="2722"/>
      <c r="B46" s="2722"/>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7"/>
      <c r="L46" s="886"/>
      <c r="M46" s="924"/>
      <c r="N46" s="924"/>
      <c r="O46" s="924"/>
    </row>
    <row r="47" spans="1:29" ht="13.5" customHeight="1">
      <c r="A47" s="2722"/>
      <c r="B47" s="2722"/>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7"/>
      <c r="L47" s="886"/>
      <c r="M47" s="924"/>
      <c r="N47" s="924"/>
      <c r="O47" s="924"/>
    </row>
    <row r="48" spans="1:29" s="449" customFormat="1" ht="13.5" customHeight="1">
      <c r="A48" s="2725"/>
      <c r="B48" s="2725"/>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30"/>
      <c r="L48" s="927"/>
      <c r="M48" s="925"/>
      <c r="N48" s="925"/>
      <c r="O48" s="925"/>
    </row>
    <row r="49" spans="1:17" s="449" customFormat="1">
      <c r="A49" s="2725"/>
      <c r="B49" s="2728"/>
      <c r="C49" s="2729"/>
      <c r="D49" s="2725"/>
      <c r="E49" s="2725"/>
      <c r="F49" s="2725"/>
      <c r="G49" s="2725"/>
      <c r="H49" s="2725"/>
      <c r="I49" s="2725"/>
      <c r="J49" s="2725"/>
      <c r="K49" s="2730"/>
      <c r="L49" s="927"/>
      <c r="M49" s="925"/>
      <c r="N49" s="925"/>
      <c r="O49" s="925"/>
    </row>
    <row r="50" spans="1:17">
      <c r="A50" s="2722"/>
      <c r="B50" s="2728"/>
      <c r="C50" s="2729"/>
      <c r="D50" s="2722"/>
      <c r="E50" s="2722"/>
      <c r="F50" s="2722"/>
      <c r="G50" s="2722"/>
      <c r="H50" s="2722"/>
      <c r="I50" s="2722"/>
      <c r="J50" s="2722"/>
      <c r="K50" s="2727"/>
      <c r="L50" s="886"/>
      <c r="M50" s="924"/>
      <c r="N50" s="924"/>
      <c r="O50" s="924"/>
    </row>
    <row r="51" spans="1:17" ht="22.2" thickBot="1">
      <c r="A51" s="692" t="s">
        <v>1798</v>
      </c>
      <c r="B51" s="688"/>
      <c r="C51" s="693"/>
      <c r="D51" s="693"/>
      <c r="E51" s="693"/>
      <c r="F51" s="694"/>
      <c r="G51" s="694"/>
      <c r="H51" s="693"/>
      <c r="I51" s="693"/>
      <c r="J51" s="693"/>
      <c r="K51" s="938"/>
      <c r="L51" s="939"/>
      <c r="M51" s="937"/>
      <c r="N51" s="937"/>
      <c r="O51" s="937"/>
      <c r="P51" s="450"/>
      <c r="Q51" s="451"/>
    </row>
    <row r="52" spans="1:17" s="455" customFormat="1" ht="14.4">
      <c r="A52" s="452" t="s">
        <v>1679</v>
      </c>
      <c r="B52" s="453"/>
      <c r="C52" s="1181" t="str">
        <f>YEAR(C7)&amp;"-"&amp;MONTH(C7)</f>
        <v>2022-12</v>
      </c>
      <c r="D52" s="1182">
        <f>EDATE(C52,-1)</f>
        <v>44866</v>
      </c>
      <c r="E52" s="1182">
        <f t="shared" ref="E52:O52" si="16">EDATE(D52,-1)</f>
        <v>44835</v>
      </c>
      <c r="F52" s="1182">
        <f t="shared" si="16"/>
        <v>44805</v>
      </c>
      <c r="G52" s="1182">
        <f t="shared" si="16"/>
        <v>44774</v>
      </c>
      <c r="H52" s="1182">
        <f t="shared" si="16"/>
        <v>44743</v>
      </c>
      <c r="I52" s="1182">
        <f t="shared" si="16"/>
        <v>44713</v>
      </c>
      <c r="J52" s="1182">
        <f t="shared" si="16"/>
        <v>44682</v>
      </c>
      <c r="K52" s="1182">
        <f t="shared" si="16"/>
        <v>44652</v>
      </c>
      <c r="L52" s="1182">
        <f t="shared" si="16"/>
        <v>44621</v>
      </c>
      <c r="M52" s="1182">
        <f t="shared" si="16"/>
        <v>44593</v>
      </c>
      <c r="N52" s="1182">
        <f t="shared" si="16"/>
        <v>44562</v>
      </c>
      <c r="O52" s="1182">
        <f t="shared" si="16"/>
        <v>44531</v>
      </c>
      <c r="P52" s="454"/>
    </row>
    <row r="53" spans="1:17" s="107" customFormat="1">
      <c r="A53" s="456"/>
      <c r="B53" s="457"/>
      <c r="C53" s="1180">
        <v>100</v>
      </c>
      <c r="D53" s="459"/>
      <c r="E53" s="459"/>
      <c r="F53" s="459"/>
      <c r="G53" s="459"/>
      <c r="H53" s="459"/>
      <c r="I53" s="459"/>
      <c r="J53" s="459"/>
      <c r="K53" s="459"/>
      <c r="L53" s="459"/>
      <c r="M53" s="460"/>
      <c r="N53" s="459"/>
      <c r="O53" s="461"/>
      <c r="P53" s="451"/>
    </row>
    <row r="54" spans="1:17" s="107" customFormat="1" ht="15" thickBot="1">
      <c r="A54" s="462" t="s">
        <v>1716</v>
      </c>
      <c r="B54" s="463"/>
      <c r="C54" s="464"/>
      <c r="D54" s="465"/>
      <c r="E54" s="465"/>
      <c r="F54" s="465"/>
      <c r="G54" s="465"/>
      <c r="H54" s="465"/>
      <c r="I54" s="465"/>
      <c r="J54" s="465"/>
      <c r="K54" s="465"/>
      <c r="L54" s="465"/>
      <c r="M54" s="466"/>
      <c r="N54" s="2767"/>
      <c r="O54" s="2768"/>
      <c r="P54" s="451"/>
      <c r="Q54" s="451"/>
    </row>
    <row r="55" spans="1:17" s="107" customFormat="1" ht="14.4">
      <c r="A55" s="468" t="s">
        <v>1681</v>
      </c>
      <c r="B55" s="457"/>
      <c r="C55" s="469" t="s">
        <v>1776</v>
      </c>
      <c r="D55" s="470"/>
      <c r="E55" s="470"/>
      <c r="F55" s="470"/>
      <c r="G55" s="470"/>
      <c r="H55" s="470"/>
      <c r="I55" s="470"/>
      <c r="J55" s="470"/>
      <c r="K55" s="470"/>
      <c r="L55" s="471"/>
      <c r="M55" s="472"/>
      <c r="N55" s="929"/>
      <c r="O55" s="929"/>
      <c r="P55" s="473"/>
      <c r="Q55" s="451"/>
    </row>
    <row r="56" spans="1:17" s="107" customFormat="1" ht="14.4" thickBot="1">
      <c r="A56" s="468"/>
      <c r="B56" s="457"/>
      <c r="C56" s="585">
        <v>100</v>
      </c>
      <c r="D56" s="459"/>
      <c r="E56" s="459"/>
      <c r="F56" s="459"/>
      <c r="G56" s="459"/>
      <c r="H56" s="459"/>
      <c r="I56" s="459"/>
      <c r="J56" s="459"/>
      <c r="K56" s="459"/>
      <c r="L56" s="459"/>
      <c r="M56" s="461"/>
      <c r="N56" s="929"/>
      <c r="O56" s="929"/>
      <c r="P56" s="451"/>
      <c r="Q56" s="451"/>
    </row>
    <row r="57" spans="1:17" ht="14.4">
      <c r="A57" s="474" t="s">
        <v>1719</v>
      </c>
      <c r="B57" s="475" t="s">
        <v>1685</v>
      </c>
      <c r="C57" s="476">
        <f>C9</f>
        <v>0</v>
      </c>
      <c r="D57" s="477"/>
      <c r="E57" s="477"/>
      <c r="F57" s="477"/>
      <c r="G57" s="477"/>
      <c r="H57" s="477"/>
      <c r="I57" s="477"/>
      <c r="J57" s="477"/>
      <c r="K57" s="478"/>
      <c r="L57" s="479"/>
      <c r="M57" s="480"/>
      <c r="N57" s="930"/>
      <c r="O57" s="930"/>
      <c r="P57" s="42"/>
      <c r="Q57" s="451"/>
    </row>
    <row r="58" spans="1:17" ht="14.4" thickBot="1">
      <c r="A58" s="481"/>
      <c r="B58" s="482"/>
      <c r="C58" s="483">
        <v>100</v>
      </c>
      <c r="D58" s="483"/>
      <c r="E58" s="483"/>
      <c r="F58" s="483"/>
      <c r="G58" s="483"/>
      <c r="H58" s="483"/>
      <c r="I58" s="483"/>
      <c r="J58" s="483"/>
      <c r="K58" s="483"/>
      <c r="L58" s="483"/>
      <c r="M58" s="484"/>
      <c r="N58" s="931"/>
      <c r="O58" s="931"/>
      <c r="P58" s="42"/>
      <c r="Q58" s="451"/>
    </row>
    <row r="59" spans="1:17" ht="29.4" thickTop="1">
      <c r="A59" s="481"/>
      <c r="B59" s="485" t="s">
        <v>1688</v>
      </c>
      <c r="C59" s="530"/>
      <c r="D59" s="530"/>
      <c r="E59" s="530"/>
      <c r="F59" s="530"/>
      <c r="G59" s="530"/>
      <c r="H59" s="530"/>
      <c r="I59" s="530"/>
      <c r="J59" s="530"/>
      <c r="K59" s="531"/>
      <c r="L59" s="532"/>
      <c r="M59" s="533"/>
      <c r="N59" s="930"/>
      <c r="O59" s="930"/>
      <c r="P59" s="42"/>
      <c r="Q59" s="451"/>
    </row>
    <row r="60" spans="1:17" ht="14.4" thickBot="1">
      <c r="A60" s="481"/>
      <c r="B60" s="490"/>
      <c r="C60" s="483"/>
      <c r="D60" s="483"/>
      <c r="E60" s="483"/>
      <c r="F60" s="483"/>
      <c r="G60" s="483"/>
      <c r="H60" s="483"/>
      <c r="I60" s="483"/>
      <c r="J60" s="483"/>
      <c r="K60" s="483"/>
      <c r="L60" s="483"/>
      <c r="M60" s="484"/>
      <c r="N60" s="931"/>
      <c r="O60" s="931"/>
      <c r="P60" s="42"/>
      <c r="Q60" s="451"/>
    </row>
    <row r="61" spans="1:17" ht="1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31"/>
      <c r="O61" s="931"/>
      <c r="P61" s="42"/>
      <c r="Q61" s="451"/>
    </row>
    <row r="62" spans="1:17">
      <c r="A62" s="481"/>
      <c r="B62" s="495"/>
      <c r="C62" s="496">
        <v>0</v>
      </c>
      <c r="D62" s="496">
        <v>2</v>
      </c>
      <c r="E62" s="496"/>
      <c r="F62" s="496"/>
      <c r="G62" s="496"/>
      <c r="H62" s="496"/>
      <c r="I62" s="496"/>
      <c r="J62" s="496"/>
      <c r="K62" s="497"/>
      <c r="L62" s="498"/>
      <c r="M62" s="499"/>
      <c r="N62" s="930"/>
      <c r="O62" s="930"/>
      <c r="P62" s="42"/>
      <c r="Q62" s="451"/>
    </row>
    <row r="63" spans="1:17" ht="14.4"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1"/>
      <c r="O63" s="931"/>
      <c r="P63" s="42"/>
      <c r="Q63" s="451"/>
    </row>
    <row r="64" spans="1:17" s="420" customFormat="1" ht="14.4" thickTop="1">
      <c r="A64" s="500"/>
      <c r="B64" s="485">
        <f>B12</f>
        <v>111</v>
      </c>
      <c r="C64" s="501"/>
      <c r="D64" s="501"/>
      <c r="E64" s="501"/>
      <c r="F64" s="501"/>
      <c r="G64" s="501"/>
      <c r="H64" s="502"/>
      <c r="I64" s="502"/>
      <c r="J64" s="502"/>
      <c r="K64" s="502"/>
      <c r="L64" s="503"/>
      <c r="M64" s="504"/>
      <c r="N64" s="932"/>
      <c r="O64" s="932"/>
      <c r="P64" s="505"/>
      <c r="Q64" s="506"/>
    </row>
    <row r="65" spans="1:17" s="420" customFormat="1" ht="14.4" thickBot="1">
      <c r="A65" s="500"/>
      <c r="B65" s="490"/>
      <c r="C65" s="507"/>
      <c r="D65" s="483"/>
      <c r="E65" s="483"/>
      <c r="F65" s="483"/>
      <c r="G65" s="483"/>
      <c r="H65" s="483"/>
      <c r="I65" s="483"/>
      <c r="J65" s="483"/>
      <c r="K65" s="483"/>
      <c r="L65" s="483"/>
      <c r="M65" s="484"/>
      <c r="N65" s="931"/>
      <c r="O65" s="931"/>
      <c r="P65" s="505"/>
      <c r="Q65" s="506"/>
    </row>
    <row r="66" spans="1:17" s="420" customFormat="1" ht="14.4" thickTop="1">
      <c r="A66" s="500"/>
      <c r="B66" s="485">
        <f>B13</f>
        <v>111</v>
      </c>
      <c r="C66" s="501"/>
      <c r="D66" s="501"/>
      <c r="E66" s="501"/>
      <c r="F66" s="501"/>
      <c r="G66" s="501"/>
      <c r="H66" s="502"/>
      <c r="I66" s="502"/>
      <c r="J66" s="502"/>
      <c r="K66" s="502"/>
      <c r="L66" s="503"/>
      <c r="M66" s="504"/>
      <c r="N66" s="932"/>
      <c r="O66" s="932"/>
      <c r="P66" s="419"/>
      <c r="Q66" s="508"/>
    </row>
    <row r="67" spans="1:17" s="420" customFormat="1" ht="14.4" thickBot="1">
      <c r="A67" s="500"/>
      <c r="B67" s="490"/>
      <c r="C67" s="507"/>
      <c r="D67" s="483"/>
      <c r="E67" s="483"/>
      <c r="F67" s="483"/>
      <c r="G67" s="507"/>
      <c r="H67" s="509"/>
      <c r="I67" s="509"/>
      <c r="J67" s="509"/>
      <c r="K67" s="509"/>
      <c r="L67" s="509"/>
      <c r="M67" s="510"/>
      <c r="N67" s="932"/>
      <c r="O67" s="932"/>
      <c r="P67" s="505"/>
      <c r="Q67" s="506"/>
    </row>
    <row r="68" spans="1:17" s="420" customFormat="1" ht="14.4" thickTop="1">
      <c r="A68" s="500"/>
      <c r="B68" s="493">
        <f>B14</f>
        <v>111</v>
      </c>
      <c r="C68" s="470"/>
      <c r="D68" s="470"/>
      <c r="E68" s="470"/>
      <c r="F68" s="470"/>
      <c r="G68" s="470"/>
      <c r="H68" s="511"/>
      <c r="I68" s="511"/>
      <c r="J68" s="511"/>
      <c r="K68" s="511"/>
      <c r="L68" s="512"/>
      <c r="M68" s="513"/>
      <c r="N68" s="932"/>
      <c r="O68" s="932"/>
      <c r="P68" s="514"/>
      <c r="Q68" s="506"/>
    </row>
    <row r="69" spans="1:17" s="420" customFormat="1" ht="14.4" thickBot="1">
      <c r="A69" s="515"/>
      <c r="B69" s="516"/>
      <c r="C69" s="517"/>
      <c r="D69" s="517"/>
      <c r="E69" s="517"/>
      <c r="F69" s="517"/>
      <c r="G69" s="517"/>
      <c r="H69" s="518"/>
      <c r="I69" s="518"/>
      <c r="J69" s="518"/>
      <c r="K69" s="518"/>
      <c r="L69" s="518"/>
      <c r="M69" s="519"/>
      <c r="N69" s="932"/>
      <c r="O69" s="932"/>
      <c r="P69" s="505"/>
      <c r="Q69" s="506"/>
    </row>
    <row r="70" spans="1:17" ht="14.4">
      <c r="A70" s="474" t="s">
        <v>1690</v>
      </c>
      <c r="B70" s="475" t="s">
        <v>1829</v>
      </c>
      <c r="C70" s="520" t="s">
        <v>1721</v>
      </c>
      <c r="D70" s="520" t="s">
        <v>1722</v>
      </c>
      <c r="E70" s="520" t="s">
        <v>1723</v>
      </c>
      <c r="F70" s="520" t="s">
        <v>1724</v>
      </c>
      <c r="G70" s="520" t="s">
        <v>1725</v>
      </c>
      <c r="H70" s="476"/>
      <c r="I70" s="476"/>
      <c r="J70" s="476"/>
      <c r="K70" s="521"/>
      <c r="L70" s="522"/>
      <c r="M70" s="523"/>
      <c r="N70" s="930"/>
      <c r="O70" s="930"/>
      <c r="P70" s="524"/>
      <c r="Q70" s="451"/>
    </row>
    <row r="71" spans="1:17" ht="14.4" thickBot="1">
      <c r="A71" s="481"/>
      <c r="B71" s="490"/>
      <c r="C71" s="491">
        <v>100</v>
      </c>
      <c r="D71" s="491">
        <f>C71-$K15</f>
        <v>100</v>
      </c>
      <c r="E71" s="491">
        <f>D71-$K15</f>
        <v>100</v>
      </c>
      <c r="F71" s="491">
        <f>E71-$K15</f>
        <v>100</v>
      </c>
      <c r="G71" s="491">
        <f>F71-$K15</f>
        <v>100</v>
      </c>
      <c r="H71" s="491"/>
      <c r="I71" s="491"/>
      <c r="J71" s="491"/>
      <c r="K71" s="491"/>
      <c r="L71" s="491"/>
      <c r="M71" s="492"/>
      <c r="N71" s="931"/>
      <c r="O71" s="931"/>
      <c r="P71" s="42"/>
      <c r="Q71" s="451"/>
    </row>
    <row r="72" spans="1:17" ht="15" thickTop="1">
      <c r="A72" s="481"/>
      <c r="B72" s="485" t="s">
        <v>1726</v>
      </c>
      <c r="C72" s="525" t="s">
        <v>1721</v>
      </c>
      <c r="D72" s="525" t="s">
        <v>1722</v>
      </c>
      <c r="E72" s="525" t="s">
        <v>1723</v>
      </c>
      <c r="F72" s="525" t="s">
        <v>1724</v>
      </c>
      <c r="G72" s="525" t="s">
        <v>1725</v>
      </c>
      <c r="H72" s="486"/>
      <c r="I72" s="486"/>
      <c r="J72" s="486"/>
      <c r="K72" s="487"/>
      <c r="L72" s="488"/>
      <c r="M72" s="489"/>
      <c r="N72" s="930"/>
      <c r="O72" s="930"/>
      <c r="P72" s="42"/>
      <c r="Q72" s="451"/>
    </row>
    <row r="73" spans="1:17" ht="14.4" thickBot="1">
      <c r="A73" s="481"/>
      <c r="B73" s="490"/>
      <c r="C73" s="491">
        <v>100</v>
      </c>
      <c r="D73" s="491">
        <f>C73-$K17</f>
        <v>100</v>
      </c>
      <c r="E73" s="491">
        <f>D73-$K17</f>
        <v>100</v>
      </c>
      <c r="F73" s="491">
        <f>E73-$K17</f>
        <v>100</v>
      </c>
      <c r="G73" s="491">
        <f>F73-$K17</f>
        <v>100</v>
      </c>
      <c r="H73" s="491"/>
      <c r="I73" s="491"/>
      <c r="J73" s="491"/>
      <c r="K73" s="491"/>
      <c r="L73" s="491"/>
      <c r="M73" s="492"/>
      <c r="N73" s="931"/>
      <c r="O73" s="931"/>
      <c r="P73" s="42"/>
      <c r="Q73" s="451"/>
    </row>
    <row r="74" spans="1:17" ht="15" thickTop="1">
      <c r="A74" s="481"/>
      <c r="B74" s="485" t="s">
        <v>1727</v>
      </c>
      <c r="C74" s="525" t="s">
        <v>1721</v>
      </c>
      <c r="D74" s="525" t="s">
        <v>1722</v>
      </c>
      <c r="E74" s="525" t="s">
        <v>1723</v>
      </c>
      <c r="F74" s="525" t="s">
        <v>1724</v>
      </c>
      <c r="G74" s="525" t="s">
        <v>1725</v>
      </c>
      <c r="H74" s="486"/>
      <c r="I74" s="486"/>
      <c r="J74" s="486"/>
      <c r="K74" s="487"/>
      <c r="L74" s="488"/>
      <c r="M74" s="489"/>
      <c r="N74" s="930"/>
      <c r="O74" s="930"/>
      <c r="P74" s="42"/>
      <c r="Q74" s="451"/>
    </row>
    <row r="75" spans="1:17" ht="14.4" thickBot="1">
      <c r="A75" s="481"/>
      <c r="B75" s="490"/>
      <c r="C75" s="491">
        <v>100</v>
      </c>
      <c r="D75" s="491">
        <f>C75-$K19</f>
        <v>100</v>
      </c>
      <c r="E75" s="491">
        <f>D75-$K19</f>
        <v>100</v>
      </c>
      <c r="F75" s="491">
        <f>E75-$K19</f>
        <v>100</v>
      </c>
      <c r="G75" s="491">
        <f>F75-$K19</f>
        <v>100</v>
      </c>
      <c r="H75" s="491"/>
      <c r="I75" s="491"/>
      <c r="J75" s="491"/>
      <c r="K75" s="491"/>
      <c r="L75" s="491"/>
      <c r="M75" s="492"/>
      <c r="N75" s="931"/>
      <c r="O75" s="931"/>
      <c r="P75" s="42"/>
      <c r="Q75" s="451"/>
    </row>
    <row r="76" spans="1:17" ht="15" thickTop="1">
      <c r="A76" s="481"/>
      <c r="B76" s="493" t="s">
        <v>1813</v>
      </c>
      <c r="C76" s="606" t="s">
        <v>1799</v>
      </c>
      <c r="D76" s="606" t="s">
        <v>1800</v>
      </c>
      <c r="E76" s="606" t="s">
        <v>1801</v>
      </c>
      <c r="F76" s="606" t="s">
        <v>1802</v>
      </c>
      <c r="G76" s="606" t="s">
        <v>1803</v>
      </c>
      <c r="H76" s="486"/>
      <c r="I76" s="486"/>
      <c r="J76" s="486"/>
      <c r="K76" s="486"/>
      <c r="L76" s="486"/>
      <c r="M76" s="1126"/>
      <c r="N76" s="931"/>
      <c r="O76" s="931"/>
      <c r="P76" s="42"/>
      <c r="Q76" s="451"/>
    </row>
    <row r="77" spans="1:17" ht="14.4" thickBot="1">
      <c r="A77" s="481"/>
      <c r="B77" s="493"/>
      <c r="C77" s="491">
        <v>100</v>
      </c>
      <c r="D77" s="491">
        <f>C77-$K21</f>
        <v>100</v>
      </c>
      <c r="E77" s="491">
        <f>D77-$K21</f>
        <v>100</v>
      </c>
      <c r="F77" s="491">
        <f>E77-$K21</f>
        <v>100</v>
      </c>
      <c r="G77" s="491">
        <f>F77-$K21</f>
        <v>100</v>
      </c>
      <c r="H77" s="606"/>
      <c r="I77" s="606"/>
      <c r="J77" s="606"/>
      <c r="K77" s="606"/>
      <c r="L77" s="606"/>
      <c r="M77" s="399"/>
      <c r="N77" s="931"/>
      <c r="O77" s="931"/>
      <c r="P77" s="42"/>
      <c r="Q77" s="451"/>
    </row>
    <row r="78" spans="1:17" ht="15" thickTop="1">
      <c r="A78" s="481"/>
      <c r="B78" s="485" t="s">
        <v>1822</v>
      </c>
      <c r="C78" s="525" t="s">
        <v>1721</v>
      </c>
      <c r="D78" s="525" t="s">
        <v>1722</v>
      </c>
      <c r="E78" s="525" t="s">
        <v>1723</v>
      </c>
      <c r="F78" s="525" t="s">
        <v>1724</v>
      </c>
      <c r="G78" s="525" t="s">
        <v>1725</v>
      </c>
      <c r="H78" s="486"/>
      <c r="I78" s="486"/>
      <c r="J78" s="486"/>
      <c r="K78" s="487"/>
      <c r="L78" s="488"/>
      <c r="M78" s="489"/>
      <c r="N78" s="930"/>
      <c r="O78" s="930"/>
      <c r="P78" s="42"/>
      <c r="Q78" s="451"/>
    </row>
    <row r="79" spans="1:17" ht="14.4" thickBot="1">
      <c r="A79" s="481"/>
      <c r="B79" s="490"/>
      <c r="C79" s="491">
        <v>100</v>
      </c>
      <c r="D79" s="491">
        <f>C79-$K23</f>
        <v>100</v>
      </c>
      <c r="E79" s="491">
        <f>D79-$K23</f>
        <v>100</v>
      </c>
      <c r="F79" s="491">
        <f>E79-$K23</f>
        <v>100</v>
      </c>
      <c r="G79" s="491">
        <f>F79-$K23</f>
        <v>100</v>
      </c>
      <c r="H79" s="491"/>
      <c r="I79" s="491"/>
      <c r="J79" s="491"/>
      <c r="K79" s="491"/>
      <c r="L79" s="491"/>
      <c r="M79" s="492"/>
      <c r="N79" s="931"/>
      <c r="O79" s="931"/>
      <c r="P79" s="42"/>
      <c r="Q79" s="451"/>
    </row>
    <row r="80" spans="1:17" s="107" customFormat="1" ht="14.4" thickTop="1">
      <c r="A80" s="526"/>
      <c r="B80" s="485">
        <f>B25</f>
        <v>111</v>
      </c>
      <c r="C80" s="501"/>
      <c r="D80" s="501"/>
      <c r="E80" s="501"/>
      <c r="F80" s="501"/>
      <c r="G80" s="501"/>
      <c r="H80" s="501"/>
      <c r="I80" s="501"/>
      <c r="J80" s="501"/>
      <c r="K80" s="501"/>
      <c r="L80" s="527"/>
      <c r="M80" s="528"/>
      <c r="N80" s="929"/>
      <c r="O80" s="929"/>
      <c r="P80" s="42"/>
      <c r="Q80" s="451"/>
    </row>
    <row r="81" spans="1:17" s="107" customFormat="1" ht="14.4" thickBot="1">
      <c r="A81" s="526"/>
      <c r="B81" s="490"/>
      <c r="C81" s="507"/>
      <c r="D81" s="483"/>
      <c r="E81" s="483"/>
      <c r="F81" s="483"/>
      <c r="G81" s="483"/>
      <c r="H81" s="483"/>
      <c r="I81" s="483"/>
      <c r="J81" s="483"/>
      <c r="K81" s="483"/>
      <c r="L81" s="483"/>
      <c r="M81" s="484"/>
      <c r="N81" s="931"/>
      <c r="O81" s="931"/>
      <c r="P81" s="42"/>
      <c r="Q81" s="451"/>
    </row>
    <row r="82" spans="1:17" s="107" customFormat="1" ht="14.4" thickTop="1">
      <c r="A82" s="526"/>
      <c r="B82" s="485">
        <f>B26</f>
        <v>111</v>
      </c>
      <c r="C82" s="501"/>
      <c r="D82" s="501"/>
      <c r="E82" s="501"/>
      <c r="F82" s="501"/>
      <c r="G82" s="501"/>
      <c r="H82" s="501"/>
      <c r="I82" s="501"/>
      <c r="J82" s="501"/>
      <c r="K82" s="501"/>
      <c r="L82" s="527"/>
      <c r="M82" s="528"/>
      <c r="N82" s="929"/>
      <c r="O82" s="929"/>
      <c r="P82" s="42"/>
      <c r="Q82" s="451"/>
    </row>
    <row r="83" spans="1:17" s="107" customFormat="1" ht="14.4" thickBot="1">
      <c r="A83" s="526"/>
      <c r="B83" s="490"/>
      <c r="C83" s="507"/>
      <c r="D83" s="483"/>
      <c r="E83" s="483"/>
      <c r="F83" s="483"/>
      <c r="G83" s="483"/>
      <c r="H83" s="483"/>
      <c r="I83" s="483"/>
      <c r="J83" s="483"/>
      <c r="K83" s="483"/>
      <c r="L83" s="483"/>
      <c r="M83" s="484"/>
      <c r="N83" s="931"/>
      <c r="O83" s="931"/>
      <c r="P83" s="42"/>
      <c r="Q83" s="451"/>
    </row>
    <row r="84" spans="1:17" s="420" customFormat="1" ht="14.4" thickTop="1">
      <c r="A84" s="500"/>
      <c r="B84" s="485">
        <f>B27</f>
        <v>111</v>
      </c>
      <c r="C84" s="501"/>
      <c r="D84" s="501"/>
      <c r="E84" s="501"/>
      <c r="F84" s="501"/>
      <c r="G84" s="501"/>
      <c r="H84" s="501"/>
      <c r="I84" s="501"/>
      <c r="J84" s="501"/>
      <c r="K84" s="501"/>
      <c r="L84" s="527"/>
      <c r="M84" s="528"/>
      <c r="N84" s="932"/>
      <c r="O84" s="932"/>
      <c r="P84" s="505"/>
      <c r="Q84" s="506"/>
    </row>
    <row r="85" spans="1:17" s="420" customFormat="1" ht="14.4" thickBot="1">
      <c r="A85" s="500"/>
      <c r="B85" s="490"/>
      <c r="C85" s="507"/>
      <c r="D85" s="483"/>
      <c r="E85" s="483"/>
      <c r="F85" s="483"/>
      <c r="G85" s="483"/>
      <c r="H85" s="483"/>
      <c r="I85" s="483"/>
      <c r="J85" s="483"/>
      <c r="K85" s="483"/>
      <c r="L85" s="483"/>
      <c r="M85" s="484"/>
      <c r="N85" s="932"/>
      <c r="O85" s="932"/>
      <c r="P85" s="505"/>
      <c r="Q85" s="506"/>
    </row>
    <row r="86" spans="1:17" ht="14.4" thickTop="1">
      <c r="A86" s="481"/>
      <c r="B86" s="493">
        <f>B28</f>
        <v>111</v>
      </c>
      <c r="C86" s="470"/>
      <c r="D86" s="470"/>
      <c r="E86" s="470"/>
      <c r="F86" s="470"/>
      <c r="G86" s="534"/>
      <c r="H86" s="534"/>
      <c r="I86" s="534"/>
      <c r="J86" s="534"/>
      <c r="K86" s="535"/>
      <c r="L86" s="536"/>
      <c r="M86" s="537"/>
      <c r="N86" s="930"/>
      <c r="O86" s="930"/>
      <c r="P86" s="42"/>
      <c r="Q86" s="451"/>
    </row>
    <row r="87" spans="1:17" ht="14.4" thickBot="1">
      <c r="A87" s="1925"/>
      <c r="B87" s="516"/>
      <c r="C87" s="517"/>
      <c r="D87" s="517"/>
      <c r="E87" s="517"/>
      <c r="F87" s="517"/>
      <c r="G87" s="538"/>
      <c r="H87" s="538"/>
      <c r="I87" s="538"/>
      <c r="J87" s="538"/>
      <c r="K87" s="538"/>
      <c r="L87" s="538"/>
      <c r="M87" s="539"/>
      <c r="N87" s="931"/>
      <c r="O87" s="931"/>
      <c r="P87" s="42"/>
      <c r="Q87" s="451"/>
    </row>
    <row r="88" spans="1:17" ht="14.4">
      <c r="A88" s="474" t="s">
        <v>1694</v>
      </c>
      <c r="B88" s="475" t="s">
        <v>1736</v>
      </c>
      <c r="C88" s="477"/>
      <c r="D88" s="477"/>
      <c r="E88" s="477"/>
      <c r="F88" s="477"/>
      <c r="G88" s="477"/>
      <c r="H88" s="477"/>
      <c r="I88" s="477"/>
      <c r="J88" s="477"/>
      <c r="K88" s="478"/>
      <c r="L88" s="479"/>
      <c r="M88" s="480"/>
      <c r="N88" s="930"/>
      <c r="O88" s="930"/>
      <c r="P88" s="42"/>
      <c r="Q88" s="451"/>
    </row>
    <row r="89" spans="1:17" ht="14.4"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31"/>
      <c r="O89" s="931"/>
      <c r="P89" s="42"/>
      <c r="Q89" s="451"/>
    </row>
    <row r="90" spans="1:17" ht="1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29"/>
      <c r="O90" s="929"/>
      <c r="P90" s="42"/>
      <c r="Q90" s="451"/>
    </row>
    <row r="91" spans="1:17" s="420" customFormat="1">
      <c r="A91" s="540"/>
      <c r="B91" s="541"/>
      <c r="C91" s="542"/>
      <c r="D91" s="542"/>
      <c r="E91" s="542"/>
      <c r="F91" s="542"/>
      <c r="G91" s="542"/>
      <c r="H91" s="542"/>
      <c r="I91" s="542"/>
      <c r="J91" s="543"/>
      <c r="K91" s="543"/>
      <c r="L91" s="544"/>
      <c r="M91" s="545"/>
      <c r="N91" s="932"/>
      <c r="O91" s="932"/>
      <c r="P91" s="505"/>
      <c r="Q91" s="506"/>
    </row>
    <row r="92" spans="1:17" s="420" customFormat="1" ht="14.4" thickBot="1">
      <c r="A92" s="500"/>
      <c r="B92" s="490"/>
      <c r="C92" s="507"/>
      <c r="D92" s="483"/>
      <c r="E92" s="483"/>
      <c r="F92" s="483"/>
      <c r="G92" s="483"/>
      <c r="H92" s="483"/>
      <c r="I92" s="483"/>
      <c r="J92" s="483"/>
      <c r="K92" s="483"/>
      <c r="L92" s="483"/>
      <c r="M92" s="484"/>
      <c r="N92" s="931"/>
      <c r="O92" s="931"/>
      <c r="P92" s="505"/>
      <c r="Q92" s="506"/>
    </row>
    <row r="93" spans="1:17" ht="15" thickTop="1">
      <c r="A93" s="546"/>
      <c r="B93" s="485" t="s">
        <v>1738</v>
      </c>
      <c r="C93" s="501"/>
      <c r="D93" s="501"/>
      <c r="E93" s="530"/>
      <c r="F93" s="530"/>
      <c r="G93" s="530"/>
      <c r="H93" s="530"/>
      <c r="I93" s="530"/>
      <c r="J93" s="530"/>
      <c r="K93" s="531"/>
      <c r="L93" s="532"/>
      <c r="M93" s="533"/>
      <c r="N93" s="930"/>
      <c r="O93" s="930"/>
      <c r="P93" s="42"/>
      <c r="Q93" s="451"/>
    </row>
    <row r="94" spans="1:17" ht="14.4"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31"/>
      <c r="O94" s="931"/>
      <c r="P94" s="42"/>
      <c r="Q94" s="451"/>
    </row>
    <row r="95" spans="1:17" ht="15" thickTop="1">
      <c r="A95" s="546"/>
      <c r="B95" s="485" t="s">
        <v>1740</v>
      </c>
      <c r="C95" s="501"/>
      <c r="D95" s="501"/>
      <c r="E95" s="501"/>
      <c r="F95" s="530"/>
      <c r="G95" s="530"/>
      <c r="H95" s="530"/>
      <c r="I95" s="530"/>
      <c r="J95" s="530"/>
      <c r="K95" s="531"/>
      <c r="L95" s="532"/>
      <c r="M95" s="533"/>
      <c r="N95" s="930"/>
      <c r="O95" s="930"/>
      <c r="P95" s="42"/>
      <c r="Q95" s="451"/>
    </row>
    <row r="96" spans="1:17" ht="14.4"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31"/>
      <c r="O96" s="931"/>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9"/>
      <c r="J98" s="569"/>
      <c r="K98" s="570"/>
      <c r="L98" s="571"/>
      <c r="M98" s="572"/>
      <c r="N98" s="930"/>
      <c r="O98" s="930"/>
      <c r="P98" s="42"/>
      <c r="Q98" s="451"/>
    </row>
    <row r="99" spans="1:17" ht="14.4"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31"/>
      <c r="O99" s="931"/>
      <c r="P99" s="42"/>
      <c r="Q99" s="451"/>
    </row>
    <row r="100" spans="1:17" s="420" customFormat="1" ht="15" thickTop="1">
      <c r="A100" s="540"/>
      <c r="B100" s="485" t="s">
        <v>1741</v>
      </c>
      <c r="C100" s="501"/>
      <c r="D100" s="501"/>
      <c r="E100" s="501"/>
      <c r="F100" s="501"/>
      <c r="G100" s="501"/>
      <c r="H100" s="530"/>
      <c r="I100" s="530"/>
      <c r="J100" s="530"/>
      <c r="K100" s="531"/>
      <c r="L100" s="532"/>
      <c r="M100" s="533"/>
      <c r="N100" s="932"/>
      <c r="O100" s="932"/>
      <c r="P100" s="505"/>
      <c r="Q100" s="506"/>
    </row>
    <row r="101" spans="1:17" s="420" customFormat="1" ht="14.4"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2"/>
      <c r="O101" s="932"/>
      <c r="P101" s="505"/>
      <c r="Q101" s="506"/>
    </row>
    <row r="102" spans="1:17" ht="15" thickTop="1">
      <c r="A102" s="546"/>
      <c r="B102" s="485" t="s">
        <v>1742</v>
      </c>
      <c r="C102" s="501"/>
      <c r="D102" s="501"/>
      <c r="E102" s="501"/>
      <c r="F102" s="501"/>
      <c r="G102" s="501"/>
      <c r="H102" s="530"/>
      <c r="I102" s="530"/>
      <c r="J102" s="530"/>
      <c r="K102" s="531"/>
      <c r="L102" s="532"/>
      <c r="M102" s="533"/>
      <c r="N102" s="930"/>
      <c r="O102" s="930"/>
      <c r="P102" s="42"/>
      <c r="Q102" s="451"/>
    </row>
    <row r="103" spans="1:17" ht="14.4"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31"/>
      <c r="O103" s="931"/>
      <c r="P103" s="42"/>
      <c r="Q103" s="451"/>
    </row>
    <row r="104" spans="1:17" ht="15" thickTop="1">
      <c r="A104" s="546"/>
      <c r="B104" s="485" t="s">
        <v>1744</v>
      </c>
      <c r="C104" s="501"/>
      <c r="D104" s="501"/>
      <c r="E104" s="501"/>
      <c r="F104" s="501"/>
      <c r="G104" s="501"/>
      <c r="H104" s="530"/>
      <c r="I104" s="530"/>
      <c r="J104" s="530"/>
      <c r="K104" s="531"/>
      <c r="L104" s="532"/>
      <c r="M104" s="533"/>
      <c r="N104" s="930"/>
      <c r="O104" s="930"/>
      <c r="P104" s="42"/>
      <c r="Q104" s="451"/>
    </row>
    <row r="105" spans="1:17" ht="14.4" thickBot="1">
      <c r="A105" s="481"/>
      <c r="B105" s="490"/>
      <c r="C105" s="491">
        <v>100</v>
      </c>
      <c r="D105" s="491">
        <f>C105-$K36</f>
        <v>100</v>
      </c>
      <c r="E105" s="491">
        <f>D105-$K36</f>
        <v>100</v>
      </c>
      <c r="F105" s="491">
        <f>E105-$K36</f>
        <v>100</v>
      </c>
      <c r="G105" s="491">
        <f>F105-$K36</f>
        <v>100</v>
      </c>
      <c r="H105" s="491"/>
      <c r="I105" s="491"/>
      <c r="J105" s="491"/>
      <c r="K105" s="491"/>
      <c r="L105" s="491"/>
      <c r="M105" s="492"/>
      <c r="N105" s="931"/>
      <c r="O105" s="931"/>
      <c r="P105" s="42"/>
      <c r="Q105" s="451"/>
    </row>
    <row r="106" spans="1:17" ht="29.4" thickTop="1">
      <c r="A106" s="546"/>
      <c r="B106" s="582" t="s">
        <v>1830</v>
      </c>
      <c r="C106" s="525" t="s">
        <v>1721</v>
      </c>
      <c r="D106" s="525" t="s">
        <v>1722</v>
      </c>
      <c r="E106" s="525" t="s">
        <v>1723</v>
      </c>
      <c r="F106" s="525" t="s">
        <v>1724</v>
      </c>
      <c r="G106" s="525" t="s">
        <v>1725</v>
      </c>
      <c r="H106" s="486"/>
      <c r="I106" s="486"/>
      <c r="J106" s="486"/>
      <c r="K106" s="487"/>
      <c r="L106" s="488"/>
      <c r="M106" s="489"/>
      <c r="N106" s="931"/>
      <c r="O106" s="931"/>
      <c r="P106" s="583"/>
      <c r="Q106" s="584"/>
    </row>
    <row r="107" spans="1:17" ht="14.4"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31"/>
      <c r="O107" s="931"/>
      <c r="P107" s="42"/>
      <c r="Q107" s="451"/>
    </row>
    <row r="108" spans="1:17" s="420" customFormat="1" ht="14.4" thickTop="1">
      <c r="A108" s="540"/>
      <c r="B108" s="485">
        <f>B38</f>
        <v>111</v>
      </c>
      <c r="C108" s="501"/>
      <c r="D108" s="501"/>
      <c r="E108" s="501"/>
      <c r="F108" s="501"/>
      <c r="G108" s="501"/>
      <c r="H108" s="502"/>
      <c r="I108" s="502"/>
      <c r="J108" s="502"/>
      <c r="K108" s="502"/>
      <c r="L108" s="503"/>
      <c r="M108" s="504"/>
      <c r="N108" s="932"/>
      <c r="O108" s="932"/>
      <c r="P108" s="505"/>
      <c r="Q108" s="506"/>
    </row>
    <row r="109" spans="1:17" s="420" customFormat="1" ht="14.4" thickBot="1">
      <c r="A109" s="500"/>
      <c r="B109" s="482"/>
      <c r="C109" s="507"/>
      <c r="D109" s="483"/>
      <c r="E109" s="483"/>
      <c r="F109" s="483"/>
      <c r="G109" s="507"/>
      <c r="H109" s="509"/>
      <c r="I109" s="509"/>
      <c r="J109" s="509"/>
      <c r="K109" s="509"/>
      <c r="L109" s="509"/>
      <c r="M109" s="510"/>
      <c r="N109" s="932"/>
      <c r="O109" s="932"/>
      <c r="P109" s="505"/>
      <c r="Q109" s="506"/>
    </row>
    <row r="110" spans="1:17" ht="14.4" thickTop="1">
      <c r="A110" s="546"/>
      <c r="B110" s="485">
        <f>B39</f>
        <v>111</v>
      </c>
      <c r="C110" s="501"/>
      <c r="D110" s="501"/>
      <c r="E110" s="501"/>
      <c r="F110" s="501"/>
      <c r="G110" s="501"/>
      <c r="H110" s="502"/>
      <c r="I110" s="502"/>
      <c r="J110" s="502"/>
      <c r="K110" s="502"/>
      <c r="L110" s="503"/>
      <c r="M110" s="504"/>
      <c r="N110" s="930"/>
      <c r="O110" s="930"/>
      <c r="P110" s="42"/>
      <c r="Q110" s="451"/>
    </row>
    <row r="111" spans="1:17" ht="14.4" thickBot="1">
      <c r="A111" s="481"/>
      <c r="B111" s="490"/>
      <c r="C111" s="507"/>
      <c r="D111" s="483"/>
      <c r="E111" s="483"/>
      <c r="F111" s="483"/>
      <c r="G111" s="507"/>
      <c r="H111" s="509"/>
      <c r="I111" s="509"/>
      <c r="J111" s="509"/>
      <c r="K111" s="509"/>
      <c r="L111" s="509"/>
      <c r="M111" s="510"/>
      <c r="N111" s="931"/>
      <c r="O111" s="931"/>
      <c r="P111" s="42"/>
      <c r="Q111" s="451"/>
    </row>
    <row r="112" spans="1:17" ht="14.4" thickTop="1">
      <c r="A112" s="546"/>
      <c r="B112" s="493">
        <f>B40</f>
        <v>111</v>
      </c>
      <c r="C112" s="470"/>
      <c r="D112" s="470"/>
      <c r="E112" s="470"/>
      <c r="F112" s="470"/>
      <c r="G112" s="534"/>
      <c r="H112" s="534"/>
      <c r="I112" s="534"/>
      <c r="J112" s="534"/>
      <c r="K112" s="470"/>
      <c r="L112" s="471"/>
      <c r="M112" s="537"/>
      <c r="N112" s="930"/>
      <c r="O112" s="930"/>
      <c r="P112" s="42"/>
      <c r="Q112" s="451"/>
    </row>
    <row r="113" spans="1:17" ht="14.4" thickBot="1">
      <c r="A113" s="1925"/>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91" sqref="P91"/>
    </sheetView>
  </sheetViews>
  <sheetFormatPr defaultColWidth="9" defaultRowHeight="13.8"/>
  <cols>
    <col min="1" max="1" width="10.44140625" style="355" customWidth="1"/>
    <col min="2" max="2" width="15.77734375" style="355" customWidth="1"/>
    <col min="3" max="3" width="14.33203125" style="355" customWidth="1"/>
    <col min="4" max="4" width="12.21875" style="355" customWidth="1"/>
    <col min="5" max="5" width="14.33203125" style="355" customWidth="1"/>
    <col min="6" max="6" width="12.21875" style="355" customWidth="1"/>
    <col min="7" max="7" width="14.44140625" style="355" customWidth="1"/>
    <col min="8" max="8" width="12.21875" style="355" customWidth="1"/>
    <col min="9" max="9" width="15.44140625" style="355" customWidth="1"/>
    <col min="10" max="10" width="12.21875" style="355" customWidth="1"/>
    <col min="11" max="11" width="12.21875" style="442" customWidth="1"/>
    <col min="12" max="12" width="12.21875" style="443" customWidth="1"/>
    <col min="13" max="15" width="12.21875" style="355" customWidth="1"/>
    <col min="16" max="16" width="4.77734375" style="903" customWidth="1"/>
    <col min="17" max="17" width="19.44140625" style="355" customWidth="1"/>
    <col min="18" max="22" width="6.109375" style="355" customWidth="1"/>
    <col min="23" max="23" width="5.77734375" style="355" customWidth="1"/>
    <col min="24" max="24" width="4.21875" style="355" customWidth="1"/>
    <col min="25" max="25" width="3.44140625" style="355" customWidth="1"/>
    <col min="26" max="26" width="19.77734375" style="355" customWidth="1"/>
    <col min="27" max="28" width="9.33203125" style="355" customWidth="1"/>
    <col min="29" max="16384" width="9" style="355"/>
  </cols>
  <sheetData>
    <row r="1" spans="1:29" s="1230" customFormat="1" ht="28.5" customHeight="1" thickBot="1">
      <c r="A1" s="1219" t="s">
        <v>1831</v>
      </c>
      <c r="B1" s="1220" t="s">
        <v>3342</v>
      </c>
      <c r="C1" s="1221" t="s">
        <v>1662</v>
      </c>
      <c r="D1" s="1222"/>
      <c r="E1" s="3433"/>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1"/>
      <c r="M2" s="2732"/>
      <c r="N2" s="2732"/>
      <c r="O2" s="2732"/>
      <c r="P2" s="1162"/>
      <c r="Q2" s="697"/>
      <c r="R2" s="697"/>
      <c r="S2" s="697"/>
      <c r="T2" s="697"/>
      <c r="U2" s="697"/>
      <c r="V2" s="697"/>
      <c r="W2" s="697"/>
      <c r="X2" s="697"/>
      <c r="Y2" s="697"/>
      <c r="Z2" s="697"/>
      <c r="AA2" s="697"/>
      <c r="AB2" s="697"/>
      <c r="AC2" s="698"/>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5"/>
      <c r="H3" s="905"/>
      <c r="I3" s="905"/>
      <c r="J3" s="905"/>
      <c r="K3" s="907"/>
      <c r="L3" s="2731"/>
      <c r="M3" s="2732" t="e">
        <f ca="1">IF(C2="——",IF(B37="元/平方米",ROUND(C39*D3/10000,0),ROUND(F3*C39/10000,0)),IF(B37="元/平方米",ROUND(C39*D3/10000,0),ROUND(F3*C39/10000,0))-D2)</f>
        <v>#DIV/0!</v>
      </c>
      <c r="N3" s="2732"/>
      <c r="O3" s="2732"/>
      <c r="P3" s="1162"/>
      <c r="Q3" s="697"/>
      <c r="R3" s="697"/>
      <c r="S3" s="697"/>
      <c r="T3" s="697"/>
      <c r="U3" s="697"/>
      <c r="V3" s="697"/>
      <c r="W3" s="697"/>
      <c r="X3" s="697"/>
      <c r="Y3" s="697"/>
      <c r="Z3" s="697"/>
      <c r="AA3" s="697"/>
      <c r="AB3" s="714"/>
      <c r="AC3" s="711"/>
    </row>
    <row r="4" spans="1:29" ht="14.4">
      <c r="A4" s="353" t="s">
        <v>1769</v>
      </c>
      <c r="B4" s="354"/>
      <c r="C4" s="3709" t="s">
        <v>1770</v>
      </c>
      <c r="D4" s="3710"/>
      <c r="E4" s="3711" t="s">
        <v>1771</v>
      </c>
      <c r="F4" s="3712"/>
      <c r="G4" s="3709" t="s">
        <v>1772</v>
      </c>
      <c r="H4" s="3710"/>
      <c r="I4" s="3709" t="s">
        <v>1773</v>
      </c>
      <c r="J4" s="3710"/>
      <c r="K4" s="557" t="s">
        <v>1774</v>
      </c>
      <c r="L4" s="2712"/>
      <c r="M4" s="2713"/>
      <c r="N4" s="2713"/>
      <c r="O4" s="2713"/>
      <c r="P4" s="3713" t="s">
        <v>1775</v>
      </c>
      <c r="Q4" s="3714"/>
      <c r="R4" s="3719" t="s">
        <v>1771</v>
      </c>
      <c r="S4" s="3720"/>
      <c r="T4" s="3719" t="s">
        <v>1772</v>
      </c>
      <c r="U4" s="3720"/>
      <c r="V4" s="3725" t="s">
        <v>1773</v>
      </c>
      <c r="W4" s="3725"/>
      <c r="X4" s="1352"/>
      <c r="Y4" s="3719" t="s">
        <v>1775</v>
      </c>
      <c r="Z4" s="3720"/>
      <c r="AA4" s="3706" t="s">
        <v>1771</v>
      </c>
      <c r="AB4" s="3707" t="s">
        <v>1772</v>
      </c>
      <c r="AC4" s="3706" t="s">
        <v>1773</v>
      </c>
    </row>
    <row r="5" spans="1:29">
      <c r="A5" s="356"/>
      <c r="B5" s="357"/>
      <c r="C5" s="3728" t="s">
        <v>1673</v>
      </c>
      <c r="D5" s="3729"/>
      <c r="E5" s="3735" t="s">
        <v>1674</v>
      </c>
      <c r="F5" s="3736"/>
      <c r="G5" s="3728" t="s">
        <v>1675</v>
      </c>
      <c r="H5" s="3729"/>
      <c r="I5" s="3728" t="s">
        <v>1676</v>
      </c>
      <c r="J5" s="3729"/>
      <c r="K5" s="557"/>
      <c r="L5" s="2712"/>
      <c r="M5" s="2713"/>
      <c r="N5" s="2713"/>
      <c r="O5" s="2713"/>
      <c r="P5" s="3715"/>
      <c r="Q5" s="3716"/>
      <c r="R5" s="3721"/>
      <c r="S5" s="3722"/>
      <c r="T5" s="3721"/>
      <c r="U5" s="3722"/>
      <c r="V5" s="3725"/>
      <c r="W5" s="3725"/>
      <c r="X5" s="1352"/>
      <c r="Y5" s="3721"/>
      <c r="Z5" s="3722"/>
      <c r="AA5" s="3707"/>
      <c r="AB5" s="3707"/>
      <c r="AC5" s="3707"/>
    </row>
    <row r="6" spans="1:29" ht="15" thickBot="1">
      <c r="A6" s="358"/>
      <c r="B6" s="359"/>
      <c r="C6" s="3726" t="s">
        <v>1677</v>
      </c>
      <c r="D6" s="3727"/>
      <c r="E6" s="3733" t="s">
        <v>1677</v>
      </c>
      <c r="F6" s="3734"/>
      <c r="G6" s="3726" t="s">
        <v>1677</v>
      </c>
      <c r="H6" s="3727"/>
      <c r="I6" s="3726" t="s">
        <v>1677</v>
      </c>
      <c r="J6" s="3727"/>
      <c r="K6" s="557" t="s">
        <v>1678</v>
      </c>
      <c r="L6" s="2712"/>
      <c r="M6" s="2713"/>
      <c r="N6" s="2713"/>
      <c r="O6" s="2713"/>
      <c r="P6" s="3717"/>
      <c r="Q6" s="3718"/>
      <c r="R6" s="3721"/>
      <c r="S6" s="3722"/>
      <c r="T6" s="3723"/>
      <c r="U6" s="3724"/>
      <c r="V6" s="3725"/>
      <c r="W6" s="3725"/>
      <c r="X6" s="1352"/>
      <c r="Y6" s="3723"/>
      <c r="Z6" s="3724"/>
      <c r="AA6" s="3708"/>
      <c r="AB6" s="3708"/>
      <c r="AC6" s="3708"/>
    </row>
    <row r="7" spans="1:29" s="107" customFormat="1" ht="15" thickBot="1">
      <c r="A7" s="360" t="s">
        <v>1679</v>
      </c>
      <c r="B7" s="361"/>
      <c r="C7" s="362">
        <f>'数据-取费表'!B2</f>
        <v>44917</v>
      </c>
      <c r="D7" s="363">
        <v>100</v>
      </c>
      <c r="E7" s="364"/>
      <c r="F7" s="365">
        <f>SUMIF(48:48,YEAR(E7)&amp;"-"&amp;MONTH(E7),49:49)</f>
        <v>0</v>
      </c>
      <c r="G7" s="364"/>
      <c r="H7" s="363">
        <f>SUMIF(48:48,YEAR(G7)&amp;"-"&amp;MONTH(G7),49:49)</f>
        <v>0</v>
      </c>
      <c r="I7" s="364"/>
      <c r="J7" s="363">
        <f>SUMIF(48:48,YEAR(I7)&amp;"-"&amp;MONTH(I7),49:49)</f>
        <v>0</v>
      </c>
      <c r="K7" s="558"/>
      <c r="L7" s="2714"/>
      <c r="M7" s="2715"/>
      <c r="N7" s="2715"/>
      <c r="O7" s="2715"/>
      <c r="P7" s="3730" t="s">
        <v>1680</v>
      </c>
      <c r="Q7" s="3732"/>
      <c r="R7" s="699" t="s">
        <v>14</v>
      </c>
      <c r="S7" s="700">
        <f t="shared" ref="S7:S14" si="0">F7</f>
        <v>0</v>
      </c>
      <c r="T7" s="699" t="s">
        <v>14</v>
      </c>
      <c r="U7" s="700">
        <f t="shared" ref="U7:U14" si="1">H7</f>
        <v>0</v>
      </c>
      <c r="V7" s="699" t="s">
        <v>14</v>
      </c>
      <c r="W7" s="700">
        <f t="shared" ref="W7:W14" si="2">J7</f>
        <v>0</v>
      </c>
      <c r="X7" s="701"/>
      <c r="Y7" s="3730" t="s">
        <v>1680</v>
      </c>
      <c r="Z7" s="3731"/>
      <c r="AA7" s="702" t="e">
        <f>D7/F7</f>
        <v>#DIV/0!</v>
      </c>
      <c r="AB7" s="702" t="e">
        <f>D7/H7</f>
        <v>#DIV/0!</v>
      </c>
      <c r="AC7" s="702" t="e">
        <f>D7/J7</f>
        <v>#DIV/0!</v>
      </c>
    </row>
    <row r="8" spans="1:29" s="107" customFormat="1" ht="1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14"/>
      <c r="M8" s="2715"/>
      <c r="N8" s="2715"/>
      <c r="O8" s="2715"/>
      <c r="P8" s="3730" t="s">
        <v>1683</v>
      </c>
      <c r="Q8" s="3731"/>
      <c r="R8" s="699" t="s">
        <v>14</v>
      </c>
      <c r="S8" s="700">
        <f t="shared" si="0"/>
        <v>100</v>
      </c>
      <c r="T8" s="699" t="s">
        <v>14</v>
      </c>
      <c r="U8" s="700">
        <f t="shared" si="1"/>
        <v>100</v>
      </c>
      <c r="V8" s="699" t="s">
        <v>14</v>
      </c>
      <c r="W8" s="700">
        <f t="shared" si="2"/>
        <v>100</v>
      </c>
      <c r="X8" s="701"/>
      <c r="Y8" s="3730" t="s">
        <v>1683</v>
      </c>
      <c r="Z8" s="3731"/>
      <c r="AA8" s="702">
        <f t="shared" ref="AA8:AA36" si="3">D8/F8</f>
        <v>1</v>
      </c>
      <c r="AB8" s="702">
        <f t="shared" ref="AB8:AB36" si="4">D8/H8</f>
        <v>1</v>
      </c>
      <c r="AC8" s="702">
        <f t="shared" ref="AC8:AC36" si="5">D8/J8</f>
        <v>1</v>
      </c>
    </row>
    <row r="9" spans="1:29" s="107" customFormat="1" ht="14.4">
      <c r="A9" s="60"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14"/>
      <c r="M9" s="2715"/>
      <c r="N9" s="2715"/>
      <c r="O9" s="2715"/>
      <c r="P9" s="3694" t="s">
        <v>1686</v>
      </c>
      <c r="Q9" s="1340" t="str">
        <f t="shared" ref="Q9:Q14" si="6">B9</f>
        <v>用途</v>
      </c>
      <c r="R9" s="699" t="s">
        <v>14</v>
      </c>
      <c r="S9" s="700">
        <f t="shared" si="0"/>
        <v>100</v>
      </c>
      <c r="T9" s="699" t="s">
        <v>14</v>
      </c>
      <c r="U9" s="700">
        <f t="shared" si="1"/>
        <v>100</v>
      </c>
      <c r="V9" s="699" t="s">
        <v>14</v>
      </c>
      <c r="W9" s="700">
        <f t="shared" si="2"/>
        <v>100</v>
      </c>
      <c r="X9" s="701"/>
      <c r="Y9" s="3550" t="s">
        <v>1687</v>
      </c>
      <c r="Z9" s="52" t="str">
        <f t="shared" ref="Z9:Z14" si="7">Q9</f>
        <v>用途</v>
      </c>
      <c r="AA9" s="702">
        <f t="shared" si="3"/>
        <v>1</v>
      </c>
      <c r="AB9" s="702">
        <f t="shared" si="4"/>
        <v>1</v>
      </c>
      <c r="AC9" s="702">
        <f t="shared" si="5"/>
        <v>1</v>
      </c>
    </row>
    <row r="10" spans="1:29" s="376" customFormat="1" ht="28.8">
      <c r="A10" s="587"/>
      <c r="B10" s="588" t="s">
        <v>1688</v>
      </c>
      <c r="C10" s="3434"/>
      <c r="D10" s="125">
        <v>100</v>
      </c>
      <c r="E10" s="3434"/>
      <c r="F10" s="125">
        <f>SUMIF(55:55,E10,56:56)-SUMIF(55:55,C10,56:56)+100</f>
        <v>100</v>
      </c>
      <c r="G10" s="3435"/>
      <c r="H10" s="125">
        <f>SUMIF(55:55,G10,56:56)-SUMIF(55:55,C10,56:56)+100</f>
        <v>100</v>
      </c>
      <c r="I10" s="3434"/>
      <c r="J10" s="125">
        <f>SUMIF(55:55,I10,56:56)-SUMIF(55:55,C10,56:56)+100</f>
        <v>100</v>
      </c>
      <c r="K10" s="558"/>
      <c r="L10" s="2716"/>
      <c r="M10" s="2717"/>
      <c r="N10" s="2717"/>
      <c r="O10" s="2717"/>
      <c r="P10" s="3694"/>
      <c r="Q10" s="1340" t="str">
        <f t="shared" si="6"/>
        <v>土地使用年限（年）</v>
      </c>
      <c r="R10" s="699" t="s">
        <v>14</v>
      </c>
      <c r="S10" s="700">
        <f t="shared" si="0"/>
        <v>100</v>
      </c>
      <c r="T10" s="699" t="s">
        <v>14</v>
      </c>
      <c r="U10" s="700">
        <f t="shared" si="1"/>
        <v>100</v>
      </c>
      <c r="V10" s="699" t="s">
        <v>14</v>
      </c>
      <c r="W10" s="700">
        <f t="shared" si="2"/>
        <v>100</v>
      </c>
      <c r="X10" s="701"/>
      <c r="Y10" s="3550"/>
      <c r="Z10" s="52" t="str">
        <f t="shared" si="7"/>
        <v>土地使用年限（年）</v>
      </c>
      <c r="AA10" s="702">
        <f t="shared" si="3"/>
        <v>1</v>
      </c>
      <c r="AB10" s="702">
        <f t="shared" si="4"/>
        <v>1</v>
      </c>
      <c r="AC10" s="702">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8"/>
      <c r="M11" s="2713"/>
      <c r="N11" s="2713"/>
      <c r="O11" s="2713"/>
      <c r="P11" s="3694"/>
      <c r="Q11" s="1340">
        <f t="shared" si="6"/>
        <v>111</v>
      </c>
      <c r="R11" s="699" t="s">
        <v>14</v>
      </c>
      <c r="S11" s="700">
        <f t="shared" si="0"/>
        <v>100</v>
      </c>
      <c r="T11" s="699" t="s">
        <v>14</v>
      </c>
      <c r="U11" s="700">
        <f t="shared" si="1"/>
        <v>100</v>
      </c>
      <c r="V11" s="699" t="s">
        <v>14</v>
      </c>
      <c r="W11" s="700">
        <f t="shared" si="2"/>
        <v>100</v>
      </c>
      <c r="X11" s="701"/>
      <c r="Y11" s="3550"/>
      <c r="Z11" s="52">
        <f t="shared" si="7"/>
        <v>111</v>
      </c>
      <c r="AA11" s="702">
        <f t="shared" si="3"/>
        <v>1</v>
      </c>
      <c r="AB11" s="702">
        <f t="shared" si="4"/>
        <v>1</v>
      </c>
      <c r="AC11" s="702">
        <f t="shared" si="5"/>
        <v>1</v>
      </c>
    </row>
    <row r="12" spans="1:29" s="107"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14"/>
      <c r="M12" s="2715"/>
      <c r="N12" s="2715"/>
      <c r="O12" s="2715"/>
      <c r="P12" s="3694"/>
      <c r="Q12" s="1340">
        <f t="shared" si="6"/>
        <v>111</v>
      </c>
      <c r="R12" s="699" t="s">
        <v>14</v>
      </c>
      <c r="S12" s="700">
        <f t="shared" si="0"/>
        <v>100</v>
      </c>
      <c r="T12" s="699" t="s">
        <v>14</v>
      </c>
      <c r="U12" s="700">
        <f t="shared" si="1"/>
        <v>100</v>
      </c>
      <c r="V12" s="699" t="s">
        <v>14</v>
      </c>
      <c r="W12" s="700">
        <f t="shared" si="2"/>
        <v>100</v>
      </c>
      <c r="X12" s="701"/>
      <c r="Y12" s="3550"/>
      <c r="Z12" s="52">
        <f t="shared" si="7"/>
        <v>111</v>
      </c>
      <c r="AA12" s="702">
        <f>D12/F12</f>
        <v>1</v>
      </c>
      <c r="AB12" s="702">
        <f>D12/H12</f>
        <v>1</v>
      </c>
      <c r="AC12" s="702">
        <f>D12/J12</f>
        <v>1</v>
      </c>
    </row>
    <row r="13" spans="1:29" ht="15.6"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19"/>
      <c r="M13" s="2713"/>
      <c r="N13" s="2713"/>
      <c r="O13" s="2713"/>
      <c r="P13" s="3694"/>
      <c r="Q13" s="1340">
        <f t="shared" si="6"/>
        <v>111</v>
      </c>
      <c r="R13" s="699" t="s">
        <v>14</v>
      </c>
      <c r="S13" s="700">
        <f t="shared" si="0"/>
        <v>100</v>
      </c>
      <c r="T13" s="699" t="s">
        <v>14</v>
      </c>
      <c r="U13" s="700">
        <f t="shared" si="1"/>
        <v>100</v>
      </c>
      <c r="V13" s="699" t="s">
        <v>14</v>
      </c>
      <c r="W13" s="700">
        <f t="shared" si="2"/>
        <v>100</v>
      </c>
      <c r="X13" s="701"/>
      <c r="Y13" s="3550"/>
      <c r="Z13" s="52">
        <f t="shared" si="7"/>
        <v>111</v>
      </c>
      <c r="AA13" s="702">
        <f t="shared" si="3"/>
        <v>1</v>
      </c>
      <c r="AB13" s="702">
        <f t="shared" si="4"/>
        <v>1</v>
      </c>
      <c r="AC13" s="702">
        <f t="shared" si="5"/>
        <v>1</v>
      </c>
    </row>
    <row r="14" spans="1:29" ht="96.6">
      <c r="A14" s="353" t="s">
        <v>1690</v>
      </c>
      <c r="B14" s="575" t="s">
        <v>1833</v>
      </c>
      <c r="C14" s="1968"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719"/>
      <c r="M14" s="2713"/>
      <c r="N14" s="2713"/>
      <c r="O14" s="2713"/>
      <c r="P14" s="3696" t="s">
        <v>1691</v>
      </c>
      <c r="Q14" s="1349" t="str">
        <f t="shared" si="6"/>
        <v>交通便捷度</v>
      </c>
      <c r="R14" s="703" t="s">
        <v>14</v>
      </c>
      <c r="S14" s="704">
        <f t="shared" si="0"/>
        <v>100</v>
      </c>
      <c r="T14" s="703" t="s">
        <v>14</v>
      </c>
      <c r="U14" s="704">
        <f t="shared" si="1"/>
        <v>100</v>
      </c>
      <c r="V14" s="703" t="s">
        <v>14</v>
      </c>
      <c r="W14" s="704">
        <f t="shared" si="2"/>
        <v>100</v>
      </c>
      <c r="X14" s="1352"/>
      <c r="Y14" s="3696" t="s">
        <v>1691</v>
      </c>
      <c r="Z14" s="1353" t="str">
        <f t="shared" si="7"/>
        <v>交通便捷度</v>
      </c>
      <c r="AA14" s="1350">
        <f t="shared" si="3"/>
        <v>1</v>
      </c>
      <c r="AB14" s="1350">
        <f t="shared" si="4"/>
        <v>1</v>
      </c>
      <c r="AC14" s="1350">
        <f t="shared" si="5"/>
        <v>1</v>
      </c>
    </row>
    <row r="15" spans="1:29" ht="15">
      <c r="A15" s="356"/>
      <c r="B15" s="593"/>
      <c r="C15" s="396"/>
      <c r="D15" s="397"/>
      <c r="E15" s="396"/>
      <c r="F15" s="398"/>
      <c r="G15" s="396"/>
      <c r="H15" s="399"/>
      <c r="I15" s="396"/>
      <c r="J15" s="397"/>
      <c r="K15" s="562"/>
      <c r="L15" s="2719"/>
      <c r="M15" s="2713"/>
      <c r="N15" s="2713"/>
      <c r="O15" s="2713"/>
      <c r="P15" s="3697"/>
      <c r="Q15" s="1349"/>
      <c r="R15" s="703"/>
      <c r="S15" s="704"/>
      <c r="T15" s="703"/>
      <c r="U15" s="704"/>
      <c r="V15" s="703"/>
      <c r="W15" s="704"/>
      <c r="X15" s="1352"/>
      <c r="Y15" s="3697"/>
      <c r="Z15" s="1353"/>
      <c r="AA15" s="1350">
        <v>1</v>
      </c>
      <c r="AB15" s="1350">
        <v>1</v>
      </c>
      <c r="AC15" s="1350">
        <v>1</v>
      </c>
    </row>
    <row r="16" spans="1:29" ht="41.4">
      <c r="A16" s="356"/>
      <c r="B16" s="577" t="s">
        <v>1812</v>
      </c>
      <c r="C16" s="1897" t="str">
        <f>IF(B1="工业",估价对象房地状况!G5,估价对象房地状况!C7)</f>
        <v>估价对象所在区域公共配套设施齐备情况</v>
      </c>
      <c r="D16" s="404">
        <v>100</v>
      </c>
      <c r="E16" s="406"/>
      <c r="F16" s="407">
        <f>SUMIF(65:65,E17,66:66)-SUMIF(65:65,C17,66:66)+100</f>
        <v>100</v>
      </c>
      <c r="G16" s="408"/>
      <c r="H16" s="404">
        <f>SUMIF(65:65,G17,66:66)-SUMIF(65:65,C17,66:66)+100</f>
        <v>100</v>
      </c>
      <c r="I16" s="406"/>
      <c r="J16" s="404">
        <f>SUMIF(65:65,I17,66:66)-SUMIF(65:65,C17,66:66)+100</f>
        <v>100</v>
      </c>
      <c r="K16" s="561"/>
      <c r="L16" s="2719"/>
      <c r="M16" s="2713"/>
      <c r="N16" s="2713"/>
      <c r="O16" s="2713"/>
      <c r="P16" s="3697"/>
      <c r="Q16" s="1349" t="str">
        <f>B16</f>
        <v>公共配套设施</v>
      </c>
      <c r="R16" s="703" t="s">
        <v>14</v>
      </c>
      <c r="S16" s="704">
        <f>F16</f>
        <v>100</v>
      </c>
      <c r="T16" s="703" t="s">
        <v>14</v>
      </c>
      <c r="U16" s="704">
        <f>H16</f>
        <v>100</v>
      </c>
      <c r="V16" s="703" t="s">
        <v>14</v>
      </c>
      <c r="W16" s="704">
        <f>J16</f>
        <v>100</v>
      </c>
      <c r="X16" s="1352"/>
      <c r="Y16" s="3697"/>
      <c r="Z16" s="1353" t="str">
        <f>Q16</f>
        <v>公共配套设施</v>
      </c>
      <c r="AA16" s="1350">
        <f t="shared" si="3"/>
        <v>1</v>
      </c>
      <c r="AB16" s="1350">
        <f t="shared" si="4"/>
        <v>1</v>
      </c>
      <c r="AC16" s="1350">
        <f t="shared" si="5"/>
        <v>1</v>
      </c>
    </row>
    <row r="17" spans="1:29" ht="15">
      <c r="A17" s="356"/>
      <c r="B17" s="578"/>
      <c r="C17" s="1898"/>
      <c r="D17" s="397"/>
      <c r="E17" s="396"/>
      <c r="F17" s="398"/>
      <c r="G17" s="396"/>
      <c r="H17" s="397"/>
      <c r="I17" s="396"/>
      <c r="J17" s="397"/>
      <c r="K17" s="562"/>
      <c r="L17" s="2719"/>
      <c r="M17" s="2713"/>
      <c r="N17" s="2713"/>
      <c r="O17" s="2713"/>
      <c r="P17" s="3697"/>
      <c r="Q17" s="1349"/>
      <c r="R17" s="703"/>
      <c r="S17" s="704"/>
      <c r="T17" s="703"/>
      <c r="U17" s="704"/>
      <c r="V17" s="703"/>
      <c r="W17" s="704"/>
      <c r="X17" s="1352"/>
      <c r="Y17" s="3697"/>
      <c r="Z17" s="1353"/>
      <c r="AA17" s="1350">
        <v>1</v>
      </c>
      <c r="AB17" s="1350">
        <v>1</v>
      </c>
      <c r="AC17" s="1350">
        <v>1</v>
      </c>
    </row>
    <row r="18" spans="1:29" ht="41.4">
      <c r="A18" s="356"/>
      <c r="B18" s="579" t="s">
        <v>1813</v>
      </c>
      <c r="C18" s="1897" t="str">
        <f>IF(B1="工业",估价对象房地状况!G6,估价对象房地状况!C8)</f>
        <v>估价对象所在区域基础设施水平</v>
      </c>
      <c r="D18" s="399">
        <v>100</v>
      </c>
      <c r="E18" s="401"/>
      <c r="F18" s="407">
        <f>SUMIF(67:67,E19,68:68)-SUMIF(67:67,C19,68:68)+100</f>
        <v>100</v>
      </c>
      <c r="G18" s="403"/>
      <c r="H18" s="404">
        <f>SUMIF(67:67,G19,68:68)-SUMIF(67:67,C19,68:68)+100</f>
        <v>100</v>
      </c>
      <c r="I18" s="401"/>
      <c r="J18" s="404">
        <f>SUMIF(67:67,I19,68:68)-SUMIF(67:67,C19,68:68)+100</f>
        <v>100</v>
      </c>
      <c r="K18" s="561"/>
      <c r="L18" s="2719"/>
      <c r="M18" s="2713"/>
      <c r="N18" s="2713"/>
      <c r="O18" s="2713"/>
      <c r="P18" s="3697"/>
      <c r="Q18" s="1349" t="str">
        <f>B18</f>
        <v>基础设施水平</v>
      </c>
      <c r="R18" s="703" t="s">
        <v>14</v>
      </c>
      <c r="S18" s="704">
        <f>F18</f>
        <v>100</v>
      </c>
      <c r="T18" s="703" t="s">
        <v>14</v>
      </c>
      <c r="U18" s="704">
        <f>H18</f>
        <v>100</v>
      </c>
      <c r="V18" s="703" t="s">
        <v>14</v>
      </c>
      <c r="W18" s="704">
        <f>J18</f>
        <v>100</v>
      </c>
      <c r="X18" s="1352"/>
      <c r="Y18" s="3697"/>
      <c r="Z18" s="1353" t="str">
        <f>Q18</f>
        <v>基础设施水平</v>
      </c>
      <c r="AA18" s="1350">
        <f t="shared" ref="AA18" si="8">D18/F18</f>
        <v>1</v>
      </c>
      <c r="AB18" s="1350">
        <f t="shared" ref="AB18" si="9">D18/H18</f>
        <v>1</v>
      </c>
      <c r="AC18" s="1350">
        <f t="shared" ref="AC18" si="10">D18/J18</f>
        <v>1</v>
      </c>
    </row>
    <row r="19" spans="1:29" ht="15">
      <c r="A19" s="356"/>
      <c r="B19" s="579"/>
      <c r="C19" s="1898"/>
      <c r="D19" s="399"/>
      <c r="E19" s="1898"/>
      <c r="F19" s="402"/>
      <c r="G19" s="1898"/>
      <c r="H19" s="397"/>
      <c r="I19" s="396"/>
      <c r="J19" s="397"/>
      <c r="K19" s="1127"/>
      <c r="L19" s="2719"/>
      <c r="M19" s="2713"/>
      <c r="N19" s="2713"/>
      <c r="O19" s="2713"/>
      <c r="P19" s="3697"/>
      <c r="Q19" s="1349"/>
      <c r="R19" s="703"/>
      <c r="S19" s="704"/>
      <c r="T19" s="703"/>
      <c r="U19" s="704"/>
      <c r="V19" s="703"/>
      <c r="W19" s="704"/>
      <c r="X19" s="1352"/>
      <c r="Y19" s="3697"/>
      <c r="Z19" s="1353"/>
      <c r="AA19" s="1350">
        <v>1</v>
      </c>
      <c r="AB19" s="1350">
        <v>1</v>
      </c>
      <c r="AC19" s="1350">
        <v>1</v>
      </c>
    </row>
    <row r="20" spans="1:29" ht="55.2">
      <c r="A20" s="356"/>
      <c r="B20" s="577" t="s">
        <v>1834</v>
      </c>
      <c r="C20" s="1897" t="str">
        <f>IF(B1="工业",估价对象房地状况!G7,估价对象房地状况!C9)</f>
        <v>区域自然环境：；人文环境；综合评价环境状况一般</v>
      </c>
      <c r="D20" s="404">
        <v>100</v>
      </c>
      <c r="E20" s="406"/>
      <c r="F20" s="407">
        <f>SUMIF(69:69,E21,70:70)-SUMIF(69:69,C21,70:70)+100</f>
        <v>100</v>
      </c>
      <c r="G20" s="408"/>
      <c r="H20" s="399">
        <f>SUMIF(69:69,G21,70:70)-SUMIF(69:69,C21,70:70)+100</f>
        <v>100</v>
      </c>
      <c r="I20" s="401"/>
      <c r="J20" s="399">
        <f>SUMIF(69:69,I21,70:70)-SUMIF(69:69,C21,70:70)+100</f>
        <v>100</v>
      </c>
      <c r="K20" s="561"/>
      <c r="L20" s="2719"/>
      <c r="M20" s="2713"/>
      <c r="N20" s="2713"/>
      <c r="O20" s="2713"/>
      <c r="P20" s="3697"/>
      <c r="Q20" s="1349" t="str">
        <f>B20</f>
        <v>自然及人文环境</v>
      </c>
      <c r="R20" s="703" t="s">
        <v>14</v>
      </c>
      <c r="S20" s="704">
        <f>F20</f>
        <v>100</v>
      </c>
      <c r="T20" s="703" t="s">
        <v>14</v>
      </c>
      <c r="U20" s="704">
        <f>H20</f>
        <v>100</v>
      </c>
      <c r="V20" s="703" t="s">
        <v>14</v>
      </c>
      <c r="W20" s="704">
        <f>J20</f>
        <v>100</v>
      </c>
      <c r="X20" s="1352"/>
      <c r="Y20" s="3697"/>
      <c r="Z20" s="1353" t="str">
        <f>Q20</f>
        <v>自然及人文环境</v>
      </c>
      <c r="AA20" s="1350">
        <f t="shared" si="3"/>
        <v>1</v>
      </c>
      <c r="AB20" s="1350">
        <f t="shared" si="4"/>
        <v>1</v>
      </c>
      <c r="AC20" s="1350">
        <f t="shared" si="5"/>
        <v>1</v>
      </c>
    </row>
    <row r="21" spans="1:29" ht="15">
      <c r="A21" s="356"/>
      <c r="B21" s="578"/>
      <c r="C21" s="396"/>
      <c r="D21" s="397"/>
      <c r="E21" s="396"/>
      <c r="F21" s="398"/>
      <c r="G21" s="396"/>
      <c r="H21" s="397"/>
      <c r="I21" s="396"/>
      <c r="J21" s="397"/>
      <c r="K21" s="562"/>
      <c r="L21" s="2719"/>
      <c r="M21" s="2713"/>
      <c r="N21" s="2713"/>
      <c r="O21" s="2713"/>
      <c r="P21" s="3697"/>
      <c r="Q21" s="1349"/>
      <c r="R21" s="703"/>
      <c r="S21" s="704"/>
      <c r="T21" s="703"/>
      <c r="U21" s="704"/>
      <c r="V21" s="703"/>
      <c r="W21" s="704"/>
      <c r="X21" s="1352"/>
      <c r="Y21" s="3697"/>
      <c r="Z21" s="1353"/>
      <c r="AA21" s="1350">
        <v>1</v>
      </c>
      <c r="AB21" s="1350">
        <v>1</v>
      </c>
      <c r="AC21" s="1350">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19"/>
      <c r="M22" s="2713"/>
      <c r="N22" s="2713"/>
      <c r="O22" s="2713"/>
      <c r="P22" s="3697"/>
      <c r="Q22" s="1349" t="str">
        <f>B22</f>
        <v>楼层</v>
      </c>
      <c r="R22" s="703" t="s">
        <v>14</v>
      </c>
      <c r="S22" s="704">
        <f>F22</f>
        <v>100</v>
      </c>
      <c r="T22" s="703" t="s">
        <v>14</v>
      </c>
      <c r="U22" s="704">
        <f>H22</f>
        <v>100</v>
      </c>
      <c r="V22" s="703" t="s">
        <v>14</v>
      </c>
      <c r="W22" s="704">
        <f>J22</f>
        <v>100</v>
      </c>
      <c r="X22" s="1352"/>
      <c r="Y22" s="3697"/>
      <c r="Z22" s="1353" t="str">
        <f>Q22</f>
        <v>楼层</v>
      </c>
      <c r="AA22" s="1350">
        <f t="shared" si="3"/>
        <v>1</v>
      </c>
      <c r="AB22" s="1350">
        <f t="shared" si="4"/>
        <v>1</v>
      </c>
      <c r="AC22" s="1350">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9"/>
      <c r="M23" s="2713"/>
      <c r="N23" s="2713"/>
      <c r="O23" s="2713"/>
      <c r="P23" s="3697"/>
      <c r="Q23" s="1349">
        <f>B23</f>
        <v>111</v>
      </c>
      <c r="R23" s="703" t="s">
        <v>14</v>
      </c>
      <c r="S23" s="704">
        <f>F23</f>
        <v>100</v>
      </c>
      <c r="T23" s="703" t="s">
        <v>14</v>
      </c>
      <c r="U23" s="704">
        <f>H23</f>
        <v>100</v>
      </c>
      <c r="V23" s="703" t="s">
        <v>14</v>
      </c>
      <c r="W23" s="704">
        <f>J23</f>
        <v>100</v>
      </c>
      <c r="X23" s="1352"/>
      <c r="Y23" s="3697"/>
      <c r="Z23" s="1353">
        <f>Q23</f>
        <v>111</v>
      </c>
      <c r="AA23" s="1350">
        <f t="shared" si="3"/>
        <v>1</v>
      </c>
      <c r="AB23" s="1350">
        <f t="shared" si="4"/>
        <v>1</v>
      </c>
      <c r="AC23" s="1350">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9"/>
      <c r="M24" s="2713"/>
      <c r="N24" s="2713"/>
      <c r="O24" s="2713"/>
      <c r="P24" s="3697"/>
      <c r="Q24" s="1349">
        <f t="shared" ref="Q24:Q36" si="11">B24</f>
        <v>111</v>
      </c>
      <c r="R24" s="703" t="s">
        <v>14</v>
      </c>
      <c r="S24" s="704">
        <f>F24</f>
        <v>100</v>
      </c>
      <c r="T24" s="703" t="s">
        <v>14</v>
      </c>
      <c r="U24" s="704">
        <f>H24</f>
        <v>100</v>
      </c>
      <c r="V24" s="703" t="s">
        <v>14</v>
      </c>
      <c r="W24" s="704">
        <f>J24</f>
        <v>100</v>
      </c>
      <c r="X24" s="1352"/>
      <c r="Y24" s="3697"/>
      <c r="Z24" s="1353">
        <f>Q24</f>
        <v>111</v>
      </c>
      <c r="AA24" s="1350">
        <f t="shared" si="3"/>
        <v>1</v>
      </c>
      <c r="AB24" s="1350">
        <f t="shared" si="4"/>
        <v>1</v>
      </c>
      <c r="AC24" s="1350">
        <f t="shared" si="5"/>
        <v>1</v>
      </c>
    </row>
    <row r="25" spans="1:29" s="107" customFormat="1" ht="15.6"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4"/>
      <c r="M25" s="2715"/>
      <c r="N25" s="2715"/>
      <c r="O25" s="2715"/>
      <c r="P25" s="3697"/>
      <c r="Q25" s="1340">
        <f t="shared" si="11"/>
        <v>111</v>
      </c>
      <c r="R25" s="699" t="s">
        <v>14</v>
      </c>
      <c r="S25" s="700">
        <f>F25</f>
        <v>100</v>
      </c>
      <c r="T25" s="699" t="s">
        <v>14</v>
      </c>
      <c r="U25" s="700">
        <f>H25</f>
        <v>100</v>
      </c>
      <c r="V25" s="699" t="s">
        <v>14</v>
      </c>
      <c r="W25" s="700">
        <f>J25</f>
        <v>100</v>
      </c>
      <c r="X25" s="701"/>
      <c r="Y25" s="3697"/>
      <c r="Z25" s="52">
        <f>Q25</f>
        <v>111</v>
      </c>
      <c r="AA25" s="1350">
        <f>D25/F25</f>
        <v>1</v>
      </c>
      <c r="AB25" s="1350">
        <f>D25/H25</f>
        <v>1</v>
      </c>
      <c r="AC25" s="1350">
        <f>D25/J25</f>
        <v>1</v>
      </c>
    </row>
    <row r="26" spans="1:29" ht="30">
      <c r="A26" s="598" t="s">
        <v>1694</v>
      </c>
      <c r="B26" s="62" t="s">
        <v>1836</v>
      </c>
      <c r="C26" s="1969" t="str">
        <f>B1</f>
        <v>车库</v>
      </c>
      <c r="D26" s="397">
        <v>100</v>
      </c>
      <c r="E26" s="396"/>
      <c r="F26" s="398">
        <f>SUMIF(79:79,E26,80:80)-SUMIF(79:79,C26,80:80)+100</f>
        <v>0</v>
      </c>
      <c r="G26" s="396"/>
      <c r="H26" s="397">
        <f>SUMIF(79:79,G26,80:80)-SUMIF(79:79,C26,80:80)+100</f>
        <v>0</v>
      </c>
      <c r="I26" s="396"/>
      <c r="J26" s="397">
        <f>SUMIF(79:79,I26,80:80)-SUMIF(79:79,C26,80:80)+100</f>
        <v>0</v>
      </c>
      <c r="K26" s="559"/>
      <c r="L26" s="2719"/>
      <c r="M26" s="2713"/>
      <c r="N26" s="2713"/>
      <c r="O26" s="2713"/>
      <c r="P26" s="3752" t="s">
        <v>1696</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701" t="s">
        <v>1696</v>
      </c>
      <c r="Z26" s="1353" t="str">
        <f t="shared" ref="Z26:Z36" si="15">Q26</f>
        <v>配套类型</v>
      </c>
      <c r="AA26" s="1350" t="e">
        <f t="shared" si="3"/>
        <v>#DIV/0!</v>
      </c>
      <c r="AB26" s="1350" t="e">
        <f t="shared" si="4"/>
        <v>#DIV/0!</v>
      </c>
      <c r="AC26" s="1350"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8"/>
      <c r="M27" s="2720"/>
      <c r="N27" s="2720"/>
      <c r="O27" s="2720"/>
      <c r="P27" s="3701"/>
      <c r="Q27" s="705" t="str">
        <f t="shared" si="11"/>
        <v>项目停车位配比</v>
      </c>
      <c r="R27" s="706" t="s">
        <v>14</v>
      </c>
      <c r="S27" s="707">
        <f t="shared" si="12"/>
        <v>100</v>
      </c>
      <c r="T27" s="706" t="s">
        <v>14</v>
      </c>
      <c r="U27" s="707">
        <f t="shared" si="13"/>
        <v>100</v>
      </c>
      <c r="V27" s="706" t="s">
        <v>14</v>
      </c>
      <c r="W27" s="707">
        <f t="shared" si="14"/>
        <v>100</v>
      </c>
      <c r="X27" s="708"/>
      <c r="Y27" s="3701"/>
      <c r="Z27" s="709" t="str">
        <f t="shared" si="15"/>
        <v>项目停车位配比</v>
      </c>
      <c r="AA27" s="1350">
        <f t="shared" si="3"/>
        <v>1</v>
      </c>
      <c r="AB27" s="1350">
        <f t="shared" si="4"/>
        <v>1</v>
      </c>
      <c r="AC27" s="1350">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19"/>
      <c r="M28" s="2713"/>
      <c r="N28" s="2713"/>
      <c r="O28" s="2713"/>
      <c r="P28" s="3701"/>
      <c r="Q28" s="1349" t="str">
        <f t="shared" si="11"/>
        <v>公共部分装修</v>
      </c>
      <c r="R28" s="703" t="s">
        <v>14</v>
      </c>
      <c r="S28" s="704">
        <f t="shared" si="12"/>
        <v>100</v>
      </c>
      <c r="T28" s="703" t="s">
        <v>14</v>
      </c>
      <c r="U28" s="704">
        <f t="shared" si="13"/>
        <v>100</v>
      </c>
      <c r="V28" s="703" t="s">
        <v>14</v>
      </c>
      <c r="W28" s="704">
        <f t="shared" si="14"/>
        <v>100</v>
      </c>
      <c r="X28" s="1352"/>
      <c r="Y28" s="3701"/>
      <c r="Z28" s="1353" t="str">
        <f t="shared" si="15"/>
        <v>公共部分装修</v>
      </c>
      <c r="AA28" s="1350">
        <f t="shared" si="3"/>
        <v>1</v>
      </c>
      <c r="AB28" s="1350">
        <f t="shared" si="4"/>
        <v>1</v>
      </c>
      <c r="AC28" s="1350">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9"/>
      <c r="M29" s="2713"/>
      <c r="N29" s="2713"/>
      <c r="O29" s="2713"/>
      <c r="P29" s="3701"/>
      <c r="Q29" s="1349" t="str">
        <f t="shared" si="11"/>
        <v>成新率</v>
      </c>
      <c r="R29" s="703" t="s">
        <v>14</v>
      </c>
      <c r="S29" s="704" t="e">
        <f t="shared" si="12"/>
        <v>#N/A</v>
      </c>
      <c r="T29" s="703" t="s">
        <v>14</v>
      </c>
      <c r="U29" s="704" t="e">
        <f t="shared" si="13"/>
        <v>#N/A</v>
      </c>
      <c r="V29" s="703" t="s">
        <v>14</v>
      </c>
      <c r="W29" s="704" t="e">
        <f t="shared" si="14"/>
        <v>#N/A</v>
      </c>
      <c r="X29" s="1352"/>
      <c r="Y29" s="3701"/>
      <c r="Z29" s="1353" t="str">
        <f t="shared" si="15"/>
        <v>成新率</v>
      </c>
      <c r="AA29" s="1350" t="e">
        <f t="shared" si="3"/>
        <v>#N/A</v>
      </c>
      <c r="AB29" s="1350" t="e">
        <f t="shared" si="4"/>
        <v>#N/A</v>
      </c>
      <c r="AC29" s="1350"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19"/>
      <c r="M30" s="2713"/>
      <c r="N30" s="2713"/>
      <c r="O30" s="2713"/>
      <c r="P30" s="3701"/>
      <c r="Q30" s="1349" t="str">
        <f t="shared" si="11"/>
        <v>物业等级</v>
      </c>
      <c r="R30" s="703" t="s">
        <v>14</v>
      </c>
      <c r="S30" s="704">
        <f t="shared" si="12"/>
        <v>100</v>
      </c>
      <c r="T30" s="703" t="s">
        <v>14</v>
      </c>
      <c r="U30" s="704">
        <f t="shared" si="13"/>
        <v>100</v>
      </c>
      <c r="V30" s="703" t="s">
        <v>14</v>
      </c>
      <c r="W30" s="704">
        <f t="shared" si="14"/>
        <v>100</v>
      </c>
      <c r="X30" s="1352"/>
      <c r="Y30" s="3701"/>
      <c r="Z30" s="1353" t="str">
        <f t="shared" si="15"/>
        <v>物业等级</v>
      </c>
      <c r="AA30" s="1350">
        <f t="shared" si="3"/>
        <v>1</v>
      </c>
      <c r="AB30" s="1350">
        <f t="shared" si="4"/>
        <v>1</v>
      </c>
      <c r="AC30" s="1350">
        <f t="shared" si="5"/>
        <v>1</v>
      </c>
    </row>
    <row r="31" spans="1:29" s="107"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14"/>
      <c r="M31" s="2715"/>
      <c r="N31" s="2715"/>
      <c r="O31" s="2715"/>
      <c r="P31" s="3701"/>
      <c r="Q31" s="1340" t="str">
        <f t="shared" si="11"/>
        <v>停车位面积</v>
      </c>
      <c r="R31" s="699" t="s">
        <v>14</v>
      </c>
      <c r="S31" s="700" t="e">
        <f t="shared" si="12"/>
        <v>#N/A</v>
      </c>
      <c r="T31" s="699" t="s">
        <v>14</v>
      </c>
      <c r="U31" s="700" t="e">
        <f t="shared" si="13"/>
        <v>#N/A</v>
      </c>
      <c r="V31" s="699" t="s">
        <v>14</v>
      </c>
      <c r="W31" s="700" t="e">
        <f t="shared" si="14"/>
        <v>#N/A</v>
      </c>
      <c r="X31" s="701"/>
      <c r="Y31" s="3701"/>
      <c r="Z31" s="52" t="str">
        <f t="shared" si="15"/>
        <v>停车位面积</v>
      </c>
      <c r="AA31" s="702" t="e">
        <f t="shared" si="3"/>
        <v>#N/A</v>
      </c>
      <c r="AB31" s="702" t="e">
        <f t="shared" si="4"/>
        <v>#N/A</v>
      </c>
      <c r="AC31" s="702"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19"/>
      <c r="M32" s="2713"/>
      <c r="N32" s="2713"/>
      <c r="O32" s="2713"/>
      <c r="P32" s="3701" t="s">
        <v>1696</v>
      </c>
      <c r="Q32" s="1349" t="str">
        <f t="shared" si="11"/>
        <v>车位类型</v>
      </c>
      <c r="R32" s="703" t="s">
        <v>14</v>
      </c>
      <c r="S32" s="704">
        <f t="shared" si="12"/>
        <v>100</v>
      </c>
      <c r="T32" s="703" t="s">
        <v>14</v>
      </c>
      <c r="U32" s="704">
        <f t="shared" si="13"/>
        <v>100</v>
      </c>
      <c r="V32" s="703" t="s">
        <v>14</v>
      </c>
      <c r="W32" s="704">
        <f t="shared" si="14"/>
        <v>100</v>
      </c>
      <c r="X32" s="1352"/>
      <c r="Y32" s="3701" t="s">
        <v>1696</v>
      </c>
      <c r="Z32" s="1353" t="str">
        <f t="shared" si="15"/>
        <v>车位类型</v>
      </c>
      <c r="AA32" s="1350">
        <f t="shared" si="3"/>
        <v>1</v>
      </c>
      <c r="AB32" s="1350">
        <f t="shared" si="4"/>
        <v>1</v>
      </c>
      <c r="AC32" s="1350">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19"/>
      <c r="M33" s="2713"/>
      <c r="N33" s="2713"/>
      <c r="O33" s="2713"/>
      <c r="P33" s="3701"/>
      <c r="Q33" s="1349" t="str">
        <f t="shared" si="11"/>
        <v>是否直接入户</v>
      </c>
      <c r="R33" s="703" t="s">
        <v>14</v>
      </c>
      <c r="S33" s="704">
        <f t="shared" si="12"/>
        <v>100</v>
      </c>
      <c r="T33" s="703" t="s">
        <v>14</v>
      </c>
      <c r="U33" s="704">
        <f t="shared" si="13"/>
        <v>100</v>
      </c>
      <c r="V33" s="703" t="s">
        <v>14</v>
      </c>
      <c r="W33" s="704">
        <f t="shared" si="14"/>
        <v>100</v>
      </c>
      <c r="X33" s="1352"/>
      <c r="Y33" s="3701"/>
      <c r="Z33" s="1353" t="str">
        <f t="shared" si="15"/>
        <v>是否直接入户</v>
      </c>
      <c r="AA33" s="1350">
        <f t="shared" si="3"/>
        <v>1</v>
      </c>
      <c r="AB33" s="1350">
        <f t="shared" si="4"/>
        <v>1</v>
      </c>
      <c r="AC33" s="1350">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9"/>
      <c r="M34" s="2713"/>
      <c r="N34" s="2713"/>
      <c r="O34" s="2713"/>
      <c r="P34" s="3701"/>
      <c r="Q34" s="1349">
        <f t="shared" si="11"/>
        <v>111</v>
      </c>
      <c r="R34" s="703" t="s">
        <v>14</v>
      </c>
      <c r="S34" s="704">
        <f t="shared" si="12"/>
        <v>100</v>
      </c>
      <c r="T34" s="703" t="s">
        <v>14</v>
      </c>
      <c r="U34" s="704">
        <f t="shared" si="13"/>
        <v>100</v>
      </c>
      <c r="V34" s="703" t="s">
        <v>14</v>
      </c>
      <c r="W34" s="704">
        <f t="shared" si="14"/>
        <v>100</v>
      </c>
      <c r="X34" s="1352"/>
      <c r="Y34" s="3701"/>
      <c r="Z34" s="1353">
        <f t="shared" si="15"/>
        <v>111</v>
      </c>
      <c r="AA34" s="1350">
        <f t="shared" si="3"/>
        <v>1</v>
      </c>
      <c r="AB34" s="1350">
        <f t="shared" si="4"/>
        <v>1</v>
      </c>
      <c r="AC34" s="1350">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8"/>
      <c r="M35" s="2720"/>
      <c r="N35" s="2720"/>
      <c r="O35" s="2720"/>
      <c r="P35" s="3701"/>
      <c r="Q35" s="705">
        <f t="shared" si="11"/>
        <v>111</v>
      </c>
      <c r="R35" s="706" t="s">
        <v>14</v>
      </c>
      <c r="S35" s="707">
        <f t="shared" si="12"/>
        <v>100</v>
      </c>
      <c r="T35" s="706" t="s">
        <v>14</v>
      </c>
      <c r="U35" s="707">
        <f t="shared" si="13"/>
        <v>100</v>
      </c>
      <c r="V35" s="706" t="s">
        <v>14</v>
      </c>
      <c r="W35" s="707">
        <f t="shared" si="14"/>
        <v>100</v>
      </c>
      <c r="X35" s="708"/>
      <c r="Y35" s="3701"/>
      <c r="Z35" s="709">
        <f t="shared" si="15"/>
        <v>111</v>
      </c>
      <c r="AA35" s="1350">
        <f t="shared" si="3"/>
        <v>1</v>
      </c>
      <c r="AB35" s="1350">
        <f t="shared" si="4"/>
        <v>1</v>
      </c>
      <c r="AC35" s="1350">
        <f t="shared" si="5"/>
        <v>1</v>
      </c>
    </row>
    <row r="36" spans="1:29" ht="15.6"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9"/>
      <c r="M36" s="2713"/>
      <c r="N36" s="2713"/>
      <c r="O36" s="2713"/>
      <c r="P36" s="3701"/>
      <c r="Q36" s="1349">
        <f t="shared" si="11"/>
        <v>111</v>
      </c>
      <c r="R36" s="703" t="s">
        <v>14</v>
      </c>
      <c r="S36" s="704">
        <f t="shared" si="12"/>
        <v>100</v>
      </c>
      <c r="T36" s="703" t="s">
        <v>14</v>
      </c>
      <c r="U36" s="704">
        <f t="shared" si="13"/>
        <v>100</v>
      </c>
      <c r="V36" s="703" t="s">
        <v>14</v>
      </c>
      <c r="W36" s="704">
        <f t="shared" si="14"/>
        <v>100</v>
      </c>
      <c r="X36" s="1352"/>
      <c r="Y36" s="3701"/>
      <c r="Z36" s="1353">
        <f t="shared" si="15"/>
        <v>111</v>
      </c>
      <c r="AA36" s="1350">
        <f t="shared" si="3"/>
        <v>1</v>
      </c>
      <c r="AB36" s="1350">
        <f t="shared" si="4"/>
        <v>1</v>
      </c>
      <c r="AC36" s="1350">
        <f t="shared" si="5"/>
        <v>1</v>
      </c>
    </row>
    <row r="37" spans="1:29" ht="14.4">
      <c r="A37" s="428" t="s">
        <v>1844</v>
      </c>
      <c r="B37" s="1970" t="s">
        <v>3362</v>
      </c>
      <c r="C37" s="1151" t="s">
        <v>0</v>
      </c>
      <c r="D37" s="1152"/>
      <c r="E37" s="1153"/>
      <c r="F37" s="1154"/>
      <c r="G37" s="1155"/>
      <c r="H37" s="1156"/>
      <c r="I37" s="1153"/>
      <c r="J37" s="1156"/>
      <c r="K37" s="566"/>
      <c r="L37" s="2721"/>
      <c r="M37" s="2722"/>
      <c r="N37" s="2713"/>
      <c r="O37" s="2722"/>
      <c r="P37" s="3694" t="str">
        <f>A37</f>
        <v>成交单价</v>
      </c>
      <c r="Q37" s="3694"/>
      <c r="R37" s="3695">
        <f>E37</f>
        <v>0</v>
      </c>
      <c r="S37" s="3695"/>
      <c r="T37" s="3695">
        <f>G37</f>
        <v>0</v>
      </c>
      <c r="U37" s="3695"/>
      <c r="V37" s="3695">
        <f>I37</f>
        <v>0</v>
      </c>
      <c r="W37" s="3695"/>
      <c r="X37" s="688"/>
      <c r="Y37" s="710"/>
      <c r="Z37" s="688"/>
      <c r="AA37" s="688"/>
      <c r="AB37" s="688"/>
      <c r="AC37" s="688"/>
    </row>
    <row r="38" spans="1:29" ht="15" thickBot="1">
      <c r="A38" s="435" t="s">
        <v>1845</v>
      </c>
      <c r="B38" s="436" t="str">
        <f>B37</f>
        <v>元/平方米</v>
      </c>
      <c r="C38" s="1157" t="e">
        <f>R39</f>
        <v>#DIV/0!</v>
      </c>
      <c r="D38" s="2314" t="s">
        <v>2138</v>
      </c>
      <c r="E38" s="1158" t="e">
        <f>R38</f>
        <v>#DIV/0!</v>
      </c>
      <c r="F38" s="2315"/>
      <c r="G38" s="1157" t="e">
        <f>T38</f>
        <v>#DIV/0!</v>
      </c>
      <c r="H38" s="2315"/>
      <c r="I38" s="1158" t="e">
        <f>V38</f>
        <v>#DIV/0!</v>
      </c>
      <c r="J38" s="2315"/>
      <c r="K38" s="2317">
        <f>F38+H38+J38</f>
        <v>0</v>
      </c>
      <c r="L38" s="2721"/>
      <c r="M38" s="2722"/>
      <c r="N38" s="2722"/>
      <c r="O38" s="2722"/>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688"/>
      <c r="Y38" s="688"/>
      <c r="Z38" s="688"/>
      <c r="AA38" s="688"/>
      <c r="AB38" s="688"/>
      <c r="AC38" s="688"/>
    </row>
    <row r="39" spans="1:29" ht="15" thickBot="1">
      <c r="A39" s="439" t="s">
        <v>1846</v>
      </c>
      <c r="B39" s="440"/>
      <c r="C39" s="1160" t="e">
        <f>R39</f>
        <v>#DIV/0!</v>
      </c>
      <c r="D39" s="1160"/>
      <c r="E39" s="1160"/>
      <c r="F39" s="1160"/>
      <c r="G39" s="1160"/>
      <c r="H39" s="1160"/>
      <c r="I39" s="1160"/>
      <c r="J39" s="1160"/>
      <c r="K39" s="567"/>
      <c r="L39" s="2721"/>
      <c r="M39" s="2722"/>
      <c r="N39" s="2722"/>
      <c r="O39" s="2722"/>
      <c r="P39" s="3691" t="str">
        <f>A39</f>
        <v>估价对象XX用房的比较价值（楼面单价，元/平方米）</v>
      </c>
      <c r="Q39" s="3692"/>
      <c r="R39" s="3753" t="e">
        <f>IF(F1="售价",ROUND(IF(D38="简单平均",AVERAGE(R38:W38),R38*F38+T38*H38+V38*J38),0),ROUND(IF(D38="简单平均",AVERAGE(R38:V38),R38*F38+T38*H38+V38*J38),1))</f>
        <v>#DIV/0!</v>
      </c>
      <c r="S39" s="3753"/>
      <c r="T39" s="3753"/>
      <c r="U39" s="3753"/>
      <c r="V39" s="3753"/>
      <c r="W39" s="3753"/>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49" customFormat="1" ht="13.5" customHeight="1">
      <c r="A44" s="2725"/>
      <c r="B44" s="2725"/>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49"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2.2" thickBot="1">
      <c r="A47" s="1163" t="s">
        <v>1850</v>
      </c>
      <c r="B47" s="924"/>
      <c r="C47" s="937"/>
      <c r="D47" s="937"/>
      <c r="E47" s="937"/>
      <c r="F47" s="1164"/>
      <c r="G47" s="1164"/>
      <c r="H47" s="937"/>
      <c r="I47" s="937"/>
      <c r="J47" s="937"/>
      <c r="K47" s="938"/>
      <c r="L47" s="939"/>
      <c r="M47" s="937"/>
      <c r="N47" s="2766"/>
      <c r="O47" s="2766"/>
      <c r="P47" s="2755"/>
      <c r="Q47" s="2736"/>
      <c r="R47" s="2722"/>
      <c r="S47" s="2722"/>
      <c r="T47" s="2722"/>
      <c r="U47" s="2722"/>
      <c r="V47" s="2722"/>
      <c r="W47" s="2722"/>
      <c r="X47" s="2722"/>
      <c r="Y47" s="2722"/>
      <c r="Z47" s="2722"/>
      <c r="AA47" s="2722"/>
      <c r="AB47" s="2722"/>
      <c r="AC47" s="2722"/>
    </row>
    <row r="48" spans="1:29" s="455" customFormat="1" ht="14.4">
      <c r="A48" s="452" t="s">
        <v>1851</v>
      </c>
      <c r="B48" s="453"/>
      <c r="C48" s="1181" t="str">
        <f>YEAR(C7)&amp;"-"&amp;MONTH(C7)</f>
        <v>2022-12</v>
      </c>
      <c r="D48" s="1182">
        <f>EDATE(C48,-1)</f>
        <v>44866</v>
      </c>
      <c r="E48" s="1182">
        <f t="shared" ref="E48:O48" si="16">EDATE(D48,-1)</f>
        <v>44835</v>
      </c>
      <c r="F48" s="1182">
        <f t="shared" si="16"/>
        <v>44805</v>
      </c>
      <c r="G48" s="1182">
        <f t="shared" si="16"/>
        <v>44774</v>
      </c>
      <c r="H48" s="1182">
        <f t="shared" si="16"/>
        <v>44743</v>
      </c>
      <c r="I48" s="1182">
        <f t="shared" si="16"/>
        <v>44713</v>
      </c>
      <c r="J48" s="1182">
        <f t="shared" si="16"/>
        <v>44682</v>
      </c>
      <c r="K48" s="1182">
        <f t="shared" si="16"/>
        <v>44652</v>
      </c>
      <c r="L48" s="1182">
        <f t="shared" si="16"/>
        <v>44621</v>
      </c>
      <c r="M48" s="1182">
        <f t="shared" si="16"/>
        <v>44593</v>
      </c>
      <c r="N48" s="1182">
        <f t="shared" si="16"/>
        <v>44562</v>
      </c>
      <c r="O48" s="1182">
        <f t="shared" si="16"/>
        <v>44531</v>
      </c>
      <c r="P48" s="2756"/>
      <c r="Q48" s="2738"/>
      <c r="R48" s="2738"/>
      <c r="S48" s="2738"/>
      <c r="T48" s="2738"/>
      <c r="U48" s="2738"/>
      <c r="V48" s="2738"/>
      <c r="W48" s="2738"/>
      <c r="X48" s="2738"/>
      <c r="Y48" s="2738"/>
      <c r="Z48" s="2738"/>
      <c r="AA48" s="2738"/>
      <c r="AB48" s="2738"/>
      <c r="AC48" s="2738"/>
    </row>
    <row r="49" spans="1:29" s="107" customFormat="1">
      <c r="A49" s="456"/>
      <c r="B49" s="457"/>
      <c r="C49" s="1174">
        <v>100</v>
      </c>
      <c r="D49" s="459"/>
      <c r="E49" s="459"/>
      <c r="F49" s="459"/>
      <c r="G49" s="459"/>
      <c r="H49" s="459"/>
      <c r="I49" s="459"/>
      <c r="J49" s="459"/>
      <c r="K49" s="459"/>
      <c r="L49" s="459"/>
      <c r="M49" s="460"/>
      <c r="N49" s="459"/>
      <c r="O49" s="460"/>
      <c r="P49" s="2757"/>
      <c r="Q49" s="2658"/>
      <c r="R49" s="2658"/>
      <c r="S49" s="2658"/>
      <c r="T49" s="2658"/>
      <c r="U49" s="2658"/>
      <c r="V49" s="2658"/>
      <c r="W49" s="2658"/>
      <c r="X49" s="2658"/>
      <c r="Y49" s="2658"/>
      <c r="Z49" s="2658"/>
      <c r="AA49" s="2658"/>
      <c r="AB49" s="2658"/>
      <c r="AC49" s="2658"/>
    </row>
    <row r="50" spans="1:29" s="107" customFormat="1" ht="15" thickBot="1">
      <c r="A50" s="462" t="s">
        <v>1716</v>
      </c>
      <c r="B50" s="463"/>
      <c r="C50" s="464"/>
      <c r="D50" s="465"/>
      <c r="E50" s="465"/>
      <c r="F50" s="465"/>
      <c r="G50" s="465"/>
      <c r="H50" s="465"/>
      <c r="I50" s="465"/>
      <c r="J50" s="465"/>
      <c r="K50" s="465"/>
      <c r="L50" s="465"/>
      <c r="M50" s="466"/>
      <c r="N50" s="465"/>
      <c r="O50" s="466"/>
      <c r="P50" s="2757"/>
      <c r="Q50" s="2736"/>
      <c r="R50" s="2658"/>
      <c r="S50" s="2658"/>
      <c r="T50" s="2658"/>
      <c r="U50" s="2658"/>
      <c r="V50" s="2658"/>
      <c r="W50" s="2658"/>
      <c r="X50" s="2658"/>
      <c r="Y50" s="2658"/>
      <c r="Z50" s="2658"/>
      <c r="AA50" s="2658"/>
      <c r="AB50" s="2658"/>
      <c r="AC50" s="2658"/>
    </row>
    <row r="51" spans="1:29" s="107" customFormat="1" ht="14.4">
      <c r="A51" s="468" t="s">
        <v>1681</v>
      </c>
      <c r="B51" s="457"/>
      <c r="C51" s="469" t="s">
        <v>1776</v>
      </c>
      <c r="D51" s="470"/>
      <c r="E51" s="470"/>
      <c r="F51" s="470"/>
      <c r="G51" s="470"/>
      <c r="H51" s="470"/>
      <c r="I51" s="470"/>
      <c r="J51" s="470"/>
      <c r="K51" s="470"/>
      <c r="L51" s="471"/>
      <c r="M51" s="472"/>
      <c r="N51" s="2749"/>
      <c r="O51" s="2749"/>
      <c r="P51" s="2758"/>
      <c r="Q51" s="2736"/>
      <c r="R51" s="2658"/>
      <c r="S51" s="2658"/>
      <c r="T51" s="2658"/>
      <c r="U51" s="2658"/>
      <c r="V51" s="2658"/>
      <c r="W51" s="2658"/>
      <c r="X51" s="2658"/>
      <c r="Y51" s="2658"/>
      <c r="Z51" s="2658"/>
      <c r="AA51" s="2658"/>
      <c r="AB51" s="2658"/>
      <c r="AC51" s="2658"/>
    </row>
    <row r="52" spans="1:29" s="107" customFormat="1" ht="14.4" thickBot="1">
      <c r="A52" s="468"/>
      <c r="B52" s="457"/>
      <c r="C52" s="585">
        <v>100</v>
      </c>
      <c r="D52" s="459"/>
      <c r="E52" s="459"/>
      <c r="F52" s="459"/>
      <c r="G52" s="459"/>
      <c r="H52" s="459"/>
      <c r="I52" s="459"/>
      <c r="J52" s="459"/>
      <c r="K52" s="459"/>
      <c r="L52" s="459"/>
      <c r="M52" s="461"/>
      <c r="N52" s="2749"/>
      <c r="O52" s="2749"/>
      <c r="P52" s="2757"/>
      <c r="Q52" s="2736"/>
      <c r="R52" s="2658"/>
      <c r="S52" s="2658"/>
      <c r="T52" s="2658"/>
      <c r="U52" s="2658"/>
      <c r="V52" s="2658"/>
      <c r="W52" s="2658"/>
      <c r="X52" s="2658"/>
      <c r="Y52" s="2658"/>
      <c r="Z52" s="2658"/>
      <c r="AA52" s="2658"/>
      <c r="AB52" s="2658"/>
      <c r="AC52" s="2658"/>
    </row>
    <row r="53" spans="1:29" ht="14.4">
      <c r="A53" s="474" t="s">
        <v>1719</v>
      </c>
      <c r="B53" s="475" t="s">
        <v>1685</v>
      </c>
      <c r="C53" s="476">
        <f>C9</f>
        <v>0</v>
      </c>
      <c r="D53" s="477"/>
      <c r="E53" s="477"/>
      <c r="F53" s="477"/>
      <c r="G53" s="477"/>
      <c r="H53" s="477"/>
      <c r="I53" s="477"/>
      <c r="J53" s="477"/>
      <c r="K53" s="478"/>
      <c r="L53" s="479"/>
      <c r="M53" s="480"/>
      <c r="N53" s="2750"/>
      <c r="O53" s="2750"/>
      <c r="P53" s="2759"/>
      <c r="Q53" s="2736"/>
      <c r="R53" s="2722"/>
      <c r="S53" s="2722"/>
      <c r="T53" s="2722"/>
      <c r="U53" s="2722"/>
      <c r="V53" s="2722"/>
      <c r="W53" s="2722"/>
      <c r="X53" s="2722"/>
      <c r="Y53" s="2722"/>
      <c r="Z53" s="2722"/>
      <c r="AA53" s="2722"/>
      <c r="AB53" s="2722"/>
      <c r="AC53" s="2722"/>
    </row>
    <row r="54" spans="1:29" ht="14.4" thickBot="1">
      <c r="A54" s="481"/>
      <c r="B54" s="482"/>
      <c r="C54" s="483">
        <v>100</v>
      </c>
      <c r="D54" s="483"/>
      <c r="E54" s="483"/>
      <c r="F54" s="483"/>
      <c r="G54" s="483"/>
      <c r="H54" s="483"/>
      <c r="I54" s="483"/>
      <c r="J54" s="483"/>
      <c r="K54" s="483"/>
      <c r="L54" s="483"/>
      <c r="M54" s="484"/>
      <c r="N54" s="2751"/>
      <c r="O54" s="2751"/>
      <c r="P54" s="2759"/>
      <c r="Q54" s="2736"/>
      <c r="R54" s="2722"/>
      <c r="S54" s="2722"/>
      <c r="T54" s="2722"/>
      <c r="U54" s="2722"/>
      <c r="V54" s="2722"/>
      <c r="W54" s="2722"/>
      <c r="X54" s="2722"/>
      <c r="Y54" s="2722"/>
      <c r="Z54" s="2722"/>
      <c r="AA54" s="2722"/>
      <c r="AB54" s="2722"/>
      <c r="AC54" s="2722"/>
    </row>
    <row r="55" spans="1:29" ht="29.4" thickTop="1">
      <c r="A55" s="481"/>
      <c r="B55" s="485" t="s">
        <v>1688</v>
      </c>
      <c r="C55" s="530"/>
      <c r="D55" s="530"/>
      <c r="E55" s="530"/>
      <c r="F55" s="530"/>
      <c r="G55" s="530"/>
      <c r="H55" s="530"/>
      <c r="I55" s="530"/>
      <c r="J55" s="530"/>
      <c r="K55" s="531"/>
      <c r="L55" s="532"/>
      <c r="M55" s="533"/>
      <c r="N55" s="2750"/>
      <c r="O55" s="2750"/>
      <c r="P55" s="2759"/>
      <c r="Q55" s="2736"/>
      <c r="R55" s="2722"/>
      <c r="S55" s="2722"/>
      <c r="T55" s="2722"/>
      <c r="U55" s="2722"/>
      <c r="V55" s="2722"/>
      <c r="W55" s="2722"/>
      <c r="X55" s="2722"/>
      <c r="Y55" s="2722"/>
      <c r="Z55" s="2722"/>
      <c r="AA55" s="2722"/>
      <c r="AB55" s="2722"/>
      <c r="AC55" s="2722"/>
    </row>
    <row r="56" spans="1:29" ht="14.4" thickBot="1">
      <c r="A56" s="481"/>
      <c r="B56" s="490"/>
      <c r="C56" s="483"/>
      <c r="D56" s="483"/>
      <c r="E56" s="483"/>
      <c r="F56" s="483"/>
      <c r="G56" s="483"/>
      <c r="H56" s="483"/>
      <c r="I56" s="483"/>
      <c r="J56" s="483"/>
      <c r="K56" s="483"/>
      <c r="L56" s="483"/>
      <c r="M56" s="484"/>
      <c r="N56" s="2751"/>
      <c r="O56" s="2751"/>
      <c r="P56" s="2759"/>
      <c r="Q56" s="2736"/>
      <c r="R56" s="2722"/>
      <c r="S56" s="2722"/>
      <c r="T56" s="2722"/>
      <c r="U56" s="2722"/>
      <c r="V56" s="2722"/>
      <c r="W56" s="2722"/>
      <c r="X56" s="2722"/>
      <c r="Y56" s="2722"/>
      <c r="Z56" s="2722"/>
      <c r="AA56" s="2722"/>
      <c r="AB56" s="2722"/>
      <c r="AC56" s="2722"/>
    </row>
    <row r="57" spans="1:29" ht="14.4" thickTop="1">
      <c r="A57" s="481"/>
      <c r="B57" s="606">
        <f>B11</f>
        <v>111</v>
      </c>
      <c r="C57" s="496"/>
      <c r="D57" s="496"/>
      <c r="E57" s="496"/>
      <c r="F57" s="496"/>
      <c r="G57" s="496"/>
      <c r="H57" s="496"/>
      <c r="I57" s="496"/>
      <c r="J57" s="496"/>
      <c r="K57" s="497"/>
      <c r="L57" s="498"/>
      <c r="M57" s="499"/>
      <c r="N57" s="2750"/>
      <c r="O57" s="2750"/>
      <c r="P57" s="2759"/>
      <c r="Q57" s="2736"/>
      <c r="R57" s="2722"/>
      <c r="S57" s="2722"/>
      <c r="T57" s="2722"/>
      <c r="U57" s="2722"/>
      <c r="V57" s="2722"/>
      <c r="W57" s="2722"/>
      <c r="X57" s="2722"/>
      <c r="Y57" s="2722"/>
      <c r="Z57" s="2722"/>
      <c r="AA57" s="2722"/>
      <c r="AB57" s="2722"/>
      <c r="AC57" s="2722"/>
    </row>
    <row r="58" spans="1:29" ht="14.4" thickBot="1">
      <c r="A58" s="481"/>
      <c r="B58" s="482"/>
      <c r="C58" s="507"/>
      <c r="D58" s="483"/>
      <c r="E58" s="483"/>
      <c r="F58" s="483"/>
      <c r="G58" s="483"/>
      <c r="H58" s="483"/>
      <c r="I58" s="483"/>
      <c r="J58" s="483"/>
      <c r="K58" s="483"/>
      <c r="L58" s="483"/>
      <c r="M58" s="484"/>
      <c r="N58" s="2751"/>
      <c r="O58" s="2751"/>
      <c r="P58" s="2759"/>
      <c r="Q58" s="2736"/>
      <c r="R58" s="2722"/>
      <c r="S58" s="2722"/>
      <c r="T58" s="2722"/>
      <c r="U58" s="2722"/>
      <c r="V58" s="2722"/>
      <c r="W58" s="2722"/>
      <c r="X58" s="2722"/>
      <c r="Y58" s="2722"/>
      <c r="Z58" s="2722"/>
      <c r="AA58" s="2722"/>
      <c r="AB58" s="2722"/>
      <c r="AC58" s="2722"/>
    </row>
    <row r="59" spans="1:29" s="420" customFormat="1" ht="14.4" thickTop="1">
      <c r="A59" s="500"/>
      <c r="B59" s="485">
        <f>B12</f>
        <v>111</v>
      </c>
      <c r="C59" s="496"/>
      <c r="D59" s="496"/>
      <c r="E59" s="496"/>
      <c r="F59" s="496"/>
      <c r="G59" s="501"/>
      <c r="H59" s="502"/>
      <c r="I59" s="502"/>
      <c r="J59" s="502"/>
      <c r="K59" s="502"/>
      <c r="L59" s="503"/>
      <c r="M59" s="504"/>
      <c r="N59" s="2752"/>
      <c r="O59" s="2752"/>
      <c r="P59" s="2760"/>
      <c r="Q59" s="2743"/>
      <c r="R59" s="2744"/>
      <c r="S59" s="2744"/>
      <c r="T59" s="2744"/>
      <c r="U59" s="2744"/>
      <c r="V59" s="2744"/>
      <c r="W59" s="2744"/>
      <c r="X59" s="2744"/>
      <c r="Y59" s="2744"/>
      <c r="Z59" s="2744"/>
      <c r="AA59" s="2744"/>
      <c r="AB59" s="2744"/>
      <c r="AC59" s="2744"/>
    </row>
    <row r="60" spans="1:29" s="420" customFormat="1" ht="14.4" thickBot="1">
      <c r="A60" s="500"/>
      <c r="B60" s="490"/>
      <c r="C60" s="507"/>
      <c r="D60" s="483"/>
      <c r="E60" s="483"/>
      <c r="F60" s="483"/>
      <c r="G60" s="483"/>
      <c r="H60" s="483"/>
      <c r="I60" s="483"/>
      <c r="J60" s="483"/>
      <c r="K60" s="483"/>
      <c r="L60" s="483"/>
      <c r="M60" s="484"/>
      <c r="N60" s="2751"/>
      <c r="O60" s="2751"/>
      <c r="P60" s="2760"/>
      <c r="Q60" s="2743"/>
      <c r="R60" s="2744"/>
      <c r="S60" s="2744"/>
      <c r="T60" s="2744"/>
      <c r="U60" s="2744"/>
      <c r="V60" s="2744"/>
      <c r="W60" s="2744"/>
      <c r="X60" s="2744"/>
      <c r="Y60" s="2744"/>
      <c r="Z60" s="2744"/>
      <c r="AA60" s="2744"/>
      <c r="AB60" s="2744"/>
      <c r="AC60" s="2744"/>
    </row>
    <row r="61" spans="1:29" s="420" customFormat="1" ht="14.4" thickTop="1">
      <c r="A61" s="500"/>
      <c r="B61" s="485">
        <f>B13</f>
        <v>111</v>
      </c>
      <c r="C61" s="501"/>
      <c r="D61" s="501"/>
      <c r="E61" s="501"/>
      <c r="F61" s="501"/>
      <c r="G61" s="501"/>
      <c r="H61" s="502"/>
      <c r="I61" s="502"/>
      <c r="J61" s="502"/>
      <c r="K61" s="502"/>
      <c r="L61" s="503"/>
      <c r="M61" s="504"/>
      <c r="N61" s="2752"/>
      <c r="O61" s="2752"/>
      <c r="P61" s="2761"/>
      <c r="Q61" s="2746"/>
      <c r="R61" s="2744"/>
      <c r="S61" s="2744"/>
      <c r="T61" s="2744"/>
      <c r="U61" s="2744"/>
      <c r="V61" s="2744"/>
      <c r="W61" s="2744"/>
      <c r="X61" s="2744"/>
      <c r="Y61" s="2744"/>
      <c r="Z61" s="2744"/>
      <c r="AA61" s="2744"/>
      <c r="AB61" s="2744"/>
      <c r="AC61" s="2744"/>
    </row>
    <row r="62" spans="1:29" s="420" customFormat="1" ht="14.4" thickBot="1">
      <c r="A62" s="500"/>
      <c r="B62" s="490"/>
      <c r="C62" s="507"/>
      <c r="D62" s="507"/>
      <c r="E62" s="507"/>
      <c r="F62" s="507"/>
      <c r="G62" s="507"/>
      <c r="H62" s="509"/>
      <c r="I62" s="509"/>
      <c r="J62" s="509"/>
      <c r="K62" s="509"/>
      <c r="L62" s="509"/>
      <c r="M62" s="510"/>
      <c r="N62" s="2752"/>
      <c r="O62" s="2752"/>
      <c r="P62" s="2760"/>
      <c r="Q62" s="2743"/>
      <c r="R62" s="2744"/>
      <c r="S62" s="2744"/>
      <c r="T62" s="2744"/>
      <c r="U62" s="2744"/>
      <c r="V62" s="2744"/>
      <c r="W62" s="2744"/>
      <c r="X62" s="2744"/>
      <c r="Y62" s="2744"/>
      <c r="Z62" s="2744"/>
      <c r="AA62" s="2744"/>
      <c r="AB62" s="2744"/>
      <c r="AC62" s="2744"/>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50"/>
      <c r="O63" s="2750"/>
      <c r="P63" s="2763"/>
      <c r="Q63" s="2736"/>
      <c r="R63" s="2722"/>
      <c r="S63" s="2722"/>
      <c r="T63" s="2722"/>
      <c r="U63" s="2722"/>
      <c r="V63" s="2722"/>
      <c r="W63" s="2722"/>
      <c r="X63" s="2722"/>
      <c r="Y63" s="2722"/>
      <c r="Z63" s="2722"/>
      <c r="AA63" s="2722"/>
      <c r="AB63" s="2722"/>
      <c r="AC63" s="2722"/>
    </row>
    <row r="64" spans="1:29" ht="14.4" thickBot="1">
      <c r="A64" s="481"/>
      <c r="B64" s="490"/>
      <c r="C64" s="491">
        <v>100</v>
      </c>
      <c r="D64" s="491">
        <f>C64-$K14</f>
        <v>100</v>
      </c>
      <c r="E64" s="491">
        <f>D64-$K14</f>
        <v>100</v>
      </c>
      <c r="F64" s="491">
        <f>E64-$K14</f>
        <v>100</v>
      </c>
      <c r="G64" s="491">
        <f>F64-$K14</f>
        <v>100</v>
      </c>
      <c r="H64" s="491"/>
      <c r="I64" s="491"/>
      <c r="J64" s="491"/>
      <c r="K64" s="491"/>
      <c r="L64" s="491"/>
      <c r="M64" s="492"/>
      <c r="N64" s="2751"/>
      <c r="O64" s="2751"/>
      <c r="P64" s="2759"/>
      <c r="Q64" s="2736"/>
      <c r="R64" s="2722"/>
      <c r="S64" s="2722"/>
      <c r="T64" s="2722"/>
      <c r="U64" s="2722"/>
      <c r="V64" s="2722"/>
      <c r="W64" s="2722"/>
      <c r="X64" s="2722"/>
      <c r="Y64" s="2722"/>
      <c r="Z64" s="2722"/>
      <c r="AA64" s="2722"/>
      <c r="AB64" s="2722"/>
      <c r="AC64" s="2722"/>
    </row>
    <row r="65" spans="1:29" ht="15" thickTop="1">
      <c r="A65" s="481"/>
      <c r="B65" s="485" t="s">
        <v>1727</v>
      </c>
      <c r="C65" s="525" t="s">
        <v>1721</v>
      </c>
      <c r="D65" s="525" t="s">
        <v>1722</v>
      </c>
      <c r="E65" s="525" t="s">
        <v>1723</v>
      </c>
      <c r="F65" s="525" t="s">
        <v>1724</v>
      </c>
      <c r="G65" s="525" t="s">
        <v>1725</v>
      </c>
      <c r="H65" s="486"/>
      <c r="I65" s="486"/>
      <c r="J65" s="486"/>
      <c r="K65" s="487"/>
      <c r="L65" s="488"/>
      <c r="M65" s="489"/>
      <c r="N65" s="2750"/>
      <c r="O65" s="2750"/>
      <c r="P65" s="2759"/>
      <c r="Q65" s="2736"/>
      <c r="R65" s="2722"/>
      <c r="S65" s="2722"/>
      <c r="T65" s="2722"/>
      <c r="U65" s="2722"/>
      <c r="V65" s="2722"/>
      <c r="W65" s="2722"/>
      <c r="X65" s="2722"/>
      <c r="Y65" s="2722"/>
      <c r="Z65" s="2722"/>
      <c r="AA65" s="2722"/>
      <c r="AB65" s="2722"/>
      <c r="AC65" s="2722"/>
    </row>
    <row r="66" spans="1:29" ht="14.4" thickBot="1">
      <c r="A66" s="481"/>
      <c r="B66" s="490"/>
      <c r="C66" s="491">
        <v>100</v>
      </c>
      <c r="D66" s="491">
        <f>C66-$K16</f>
        <v>100</v>
      </c>
      <c r="E66" s="491">
        <f>D66-$K16</f>
        <v>100</v>
      </c>
      <c r="F66" s="491">
        <f>E66-$K16</f>
        <v>100</v>
      </c>
      <c r="G66" s="491">
        <f>F66-$K16</f>
        <v>100</v>
      </c>
      <c r="H66" s="491"/>
      <c r="I66" s="491"/>
      <c r="J66" s="491"/>
      <c r="K66" s="491"/>
      <c r="L66" s="491"/>
      <c r="M66" s="492"/>
      <c r="N66" s="2751"/>
      <c r="O66" s="2751"/>
      <c r="P66" s="2759"/>
      <c r="Q66" s="2736"/>
      <c r="R66" s="2722"/>
      <c r="S66" s="2722"/>
      <c r="T66" s="2722"/>
      <c r="U66" s="2722"/>
      <c r="V66" s="2722"/>
      <c r="W66" s="2722"/>
      <c r="X66" s="2722"/>
      <c r="Y66" s="2722"/>
      <c r="Z66" s="2722"/>
      <c r="AA66" s="2722"/>
      <c r="AB66" s="2722"/>
      <c r="AC66" s="2722"/>
    </row>
    <row r="67" spans="1:29" ht="15" thickTop="1">
      <c r="A67" s="481"/>
      <c r="B67" s="493" t="s">
        <v>1813</v>
      </c>
      <c r="C67" s="606" t="s">
        <v>1799</v>
      </c>
      <c r="D67" s="606" t="s">
        <v>1800</v>
      </c>
      <c r="E67" s="606" t="s">
        <v>1801</v>
      </c>
      <c r="F67" s="606" t="s">
        <v>1802</v>
      </c>
      <c r="G67" s="606" t="s">
        <v>1803</v>
      </c>
      <c r="H67" s="486"/>
      <c r="I67" s="486"/>
      <c r="J67" s="486"/>
      <c r="K67" s="486"/>
      <c r="L67" s="486"/>
      <c r="M67" s="1126"/>
      <c r="N67" s="2751"/>
      <c r="O67" s="2751"/>
      <c r="P67" s="2759"/>
      <c r="Q67" s="2736"/>
      <c r="R67" s="2722"/>
      <c r="S67" s="2722"/>
      <c r="T67" s="2722"/>
      <c r="U67" s="2722"/>
      <c r="V67" s="2722"/>
      <c r="W67" s="2722"/>
      <c r="X67" s="2722"/>
      <c r="Y67" s="2722"/>
      <c r="Z67" s="2722"/>
      <c r="AA67" s="2722"/>
      <c r="AB67" s="2722"/>
      <c r="AC67" s="2722"/>
    </row>
    <row r="68" spans="1:29" ht="14.4" thickBot="1">
      <c r="A68" s="481"/>
      <c r="B68" s="493"/>
      <c r="C68" s="491">
        <v>100</v>
      </c>
      <c r="D68" s="491">
        <f>C68-$K18</f>
        <v>100</v>
      </c>
      <c r="E68" s="491">
        <f>D68-$K18</f>
        <v>100</v>
      </c>
      <c r="F68" s="491">
        <f>E68-$K18</f>
        <v>100</v>
      </c>
      <c r="G68" s="491">
        <f>F68-$K18</f>
        <v>100</v>
      </c>
      <c r="H68" s="606"/>
      <c r="I68" s="606"/>
      <c r="J68" s="606"/>
      <c r="K68" s="606"/>
      <c r="L68" s="606"/>
      <c r="M68" s="399"/>
      <c r="N68" s="2751"/>
      <c r="O68" s="2751"/>
      <c r="P68" s="2759"/>
      <c r="Q68" s="2736"/>
      <c r="R68" s="2722"/>
      <c r="S68" s="2722"/>
      <c r="T68" s="2722"/>
      <c r="U68" s="2722"/>
      <c r="V68" s="2722"/>
      <c r="W68" s="2722"/>
      <c r="X68" s="2722"/>
      <c r="Y68" s="2722"/>
      <c r="Z68" s="2722"/>
      <c r="AA68" s="2722"/>
      <c r="AB68" s="2722"/>
      <c r="AC68" s="2722"/>
    </row>
    <row r="69" spans="1:29" ht="15" thickTop="1">
      <c r="A69" s="481"/>
      <c r="B69" s="485" t="s">
        <v>1733</v>
      </c>
      <c r="C69" s="525" t="s">
        <v>1721</v>
      </c>
      <c r="D69" s="525" t="s">
        <v>1722</v>
      </c>
      <c r="E69" s="525" t="s">
        <v>1723</v>
      </c>
      <c r="F69" s="525" t="s">
        <v>1724</v>
      </c>
      <c r="G69" s="525" t="s">
        <v>1725</v>
      </c>
      <c r="H69" s="486"/>
      <c r="I69" s="486"/>
      <c r="J69" s="486"/>
      <c r="K69" s="487"/>
      <c r="L69" s="488"/>
      <c r="M69" s="489"/>
      <c r="N69" s="2750"/>
      <c r="O69" s="2750"/>
      <c r="P69" s="2759"/>
      <c r="Q69" s="2736"/>
      <c r="R69" s="2722"/>
      <c r="S69" s="2722"/>
      <c r="T69" s="2722"/>
      <c r="U69" s="2722"/>
      <c r="V69" s="2722"/>
      <c r="W69" s="2722"/>
      <c r="X69" s="2722"/>
      <c r="Y69" s="2722"/>
      <c r="Z69" s="2722"/>
      <c r="AA69" s="2722"/>
      <c r="AB69" s="2722"/>
      <c r="AC69" s="2722"/>
    </row>
    <row r="70" spans="1:29" ht="14.4" thickBot="1">
      <c r="A70" s="481"/>
      <c r="B70" s="490"/>
      <c r="C70" s="491">
        <v>100</v>
      </c>
      <c r="D70" s="491">
        <f>C70-$K20</f>
        <v>100</v>
      </c>
      <c r="E70" s="491">
        <f>D70-$K20</f>
        <v>100</v>
      </c>
      <c r="F70" s="491">
        <f>E70-$K20</f>
        <v>100</v>
      </c>
      <c r="G70" s="491">
        <f>F70-$K20</f>
        <v>100</v>
      </c>
      <c r="H70" s="491"/>
      <c r="I70" s="491"/>
      <c r="J70" s="491"/>
      <c r="K70" s="491"/>
      <c r="L70" s="491"/>
      <c r="M70" s="492"/>
      <c r="N70" s="2751"/>
      <c r="O70" s="2751"/>
      <c r="P70" s="2759"/>
      <c r="Q70" s="2736"/>
      <c r="R70" s="2722"/>
      <c r="S70" s="2722"/>
      <c r="T70" s="2722"/>
      <c r="U70" s="2722"/>
      <c r="V70" s="2722"/>
      <c r="W70" s="2722"/>
      <c r="X70" s="2722"/>
      <c r="Y70" s="2722"/>
      <c r="Z70" s="2722"/>
      <c r="AA70" s="2722"/>
      <c r="AB70" s="2722"/>
      <c r="AC70" s="2722"/>
    </row>
    <row r="71" spans="1:29" ht="15" thickTop="1">
      <c r="A71" s="481"/>
      <c r="B71" s="485" t="s">
        <v>1852</v>
      </c>
      <c r="C71" s="501"/>
      <c r="D71" s="501"/>
      <c r="E71" s="501"/>
      <c r="F71" s="501"/>
      <c r="G71" s="501"/>
      <c r="H71" s="530"/>
      <c r="I71" s="530"/>
      <c r="J71" s="530"/>
      <c r="K71" s="531"/>
      <c r="L71" s="532"/>
      <c r="M71" s="533"/>
      <c r="N71" s="2750"/>
      <c r="O71" s="2750"/>
      <c r="P71" s="2759"/>
      <c r="Q71" s="2736"/>
      <c r="R71" s="2722"/>
      <c r="S71" s="2722"/>
      <c r="T71" s="2722"/>
      <c r="U71" s="2722"/>
      <c r="V71" s="2722"/>
      <c r="W71" s="2722"/>
      <c r="X71" s="2722"/>
      <c r="Y71" s="2722"/>
      <c r="Z71" s="2722"/>
      <c r="AA71" s="2722"/>
      <c r="AB71" s="2722"/>
      <c r="AC71" s="2722"/>
    </row>
    <row r="72" spans="1:29" ht="14.4" thickBot="1">
      <c r="A72" s="481"/>
      <c r="B72" s="490"/>
      <c r="C72" s="491">
        <v>100</v>
      </c>
      <c r="D72" s="491">
        <f>C72-$K22</f>
        <v>100</v>
      </c>
      <c r="E72" s="491">
        <f>D72-$K22</f>
        <v>100</v>
      </c>
      <c r="F72" s="491">
        <f>E72-$K22</f>
        <v>100</v>
      </c>
      <c r="G72" s="491">
        <f>F72-$K22</f>
        <v>100</v>
      </c>
      <c r="H72" s="491"/>
      <c r="I72" s="491"/>
      <c r="J72" s="491"/>
      <c r="K72" s="491"/>
      <c r="L72" s="491"/>
      <c r="M72" s="492"/>
      <c r="N72" s="2751"/>
      <c r="O72" s="2751"/>
      <c r="P72" s="2759"/>
      <c r="Q72" s="2736"/>
      <c r="R72" s="2722"/>
      <c r="S72" s="2722"/>
      <c r="T72" s="2722"/>
      <c r="U72" s="2722"/>
      <c r="V72" s="2722"/>
      <c r="W72" s="2722"/>
      <c r="X72" s="2722"/>
      <c r="Y72" s="2722"/>
      <c r="Z72" s="2722"/>
      <c r="AA72" s="2722"/>
      <c r="AB72" s="2722"/>
      <c r="AC72" s="2722"/>
    </row>
    <row r="73" spans="1:29" s="107" customFormat="1" ht="14.4" thickTop="1">
      <c r="A73" s="526"/>
      <c r="B73" s="485">
        <f>B23</f>
        <v>111</v>
      </c>
      <c r="C73" s="496"/>
      <c r="D73" s="496"/>
      <c r="E73" s="496"/>
      <c r="F73" s="496"/>
      <c r="G73" s="501"/>
      <c r="H73" s="501"/>
      <c r="I73" s="501"/>
      <c r="J73" s="501"/>
      <c r="K73" s="501"/>
      <c r="L73" s="527"/>
      <c r="M73" s="528"/>
      <c r="N73" s="2749"/>
      <c r="O73" s="2749"/>
      <c r="P73" s="2759"/>
      <c r="Q73" s="2736"/>
      <c r="R73" s="2658"/>
      <c r="S73" s="2658"/>
      <c r="T73" s="2658"/>
      <c r="U73" s="2658"/>
      <c r="V73" s="2658"/>
      <c r="W73" s="2658"/>
      <c r="X73" s="2658"/>
      <c r="Y73" s="2658"/>
      <c r="Z73" s="2658"/>
      <c r="AA73" s="2658"/>
      <c r="AB73" s="2658"/>
      <c r="AC73" s="2658"/>
    </row>
    <row r="74" spans="1:29" s="107" customFormat="1" ht="14.4" thickBot="1">
      <c r="A74" s="526"/>
      <c r="B74" s="490"/>
      <c r="C74" s="507"/>
      <c r="D74" s="483"/>
      <c r="E74" s="483"/>
      <c r="F74" s="483"/>
      <c r="G74" s="483"/>
      <c r="H74" s="483"/>
      <c r="I74" s="483"/>
      <c r="J74" s="483"/>
      <c r="K74" s="483"/>
      <c r="L74" s="483"/>
      <c r="M74" s="484"/>
      <c r="N74" s="2751"/>
      <c r="O74" s="2751"/>
      <c r="P74" s="2759"/>
      <c r="Q74" s="2736"/>
      <c r="R74" s="2658"/>
      <c r="S74" s="2658"/>
      <c r="T74" s="2658"/>
      <c r="U74" s="2658"/>
      <c r="V74" s="2658"/>
      <c r="W74" s="2658"/>
      <c r="X74" s="2658"/>
      <c r="Y74" s="2658"/>
      <c r="Z74" s="2658"/>
      <c r="AA74" s="2658"/>
      <c r="AB74" s="2658"/>
      <c r="AC74" s="2658"/>
    </row>
    <row r="75" spans="1:29" s="107" customFormat="1" ht="14.4" thickTop="1">
      <c r="A75" s="526"/>
      <c r="B75" s="485">
        <f>B24</f>
        <v>111</v>
      </c>
      <c r="C75" s="496"/>
      <c r="D75" s="496"/>
      <c r="E75" s="496"/>
      <c r="F75" s="496"/>
      <c r="G75" s="501"/>
      <c r="H75" s="501"/>
      <c r="I75" s="501"/>
      <c r="J75" s="501"/>
      <c r="K75" s="501"/>
      <c r="L75" s="501"/>
      <c r="M75" s="528"/>
      <c r="N75" s="2749"/>
      <c r="O75" s="2749"/>
      <c r="P75" s="2759"/>
      <c r="Q75" s="2736"/>
      <c r="R75" s="2658"/>
      <c r="S75" s="2658"/>
      <c r="T75" s="2658"/>
      <c r="U75" s="2658"/>
      <c r="V75" s="2658"/>
      <c r="W75" s="2658"/>
      <c r="X75" s="2658"/>
      <c r="Y75" s="2658"/>
      <c r="Z75" s="2658"/>
      <c r="AA75" s="2658"/>
      <c r="AB75" s="2658"/>
      <c r="AC75" s="2658"/>
    </row>
    <row r="76" spans="1:29" s="107" customFormat="1" ht="14.4" thickBot="1">
      <c r="A76" s="526"/>
      <c r="B76" s="490"/>
      <c r="C76" s="507"/>
      <c r="D76" s="483"/>
      <c r="E76" s="483"/>
      <c r="F76" s="483"/>
      <c r="G76" s="483"/>
      <c r="H76" s="483"/>
      <c r="I76" s="483"/>
      <c r="J76" s="483"/>
      <c r="K76" s="483"/>
      <c r="L76" s="483"/>
      <c r="M76" s="484"/>
      <c r="N76" s="2751"/>
      <c r="O76" s="2751"/>
      <c r="P76" s="2759"/>
      <c r="Q76" s="2736"/>
      <c r="R76" s="2658"/>
      <c r="S76" s="2658"/>
      <c r="T76" s="2658"/>
      <c r="U76" s="2658"/>
      <c r="V76" s="2658"/>
      <c r="W76" s="2658"/>
      <c r="X76" s="2658"/>
      <c r="Y76" s="2658"/>
      <c r="Z76" s="2658"/>
      <c r="AA76" s="2658"/>
      <c r="AB76" s="2658"/>
      <c r="AC76" s="2658"/>
    </row>
    <row r="77" spans="1:29" s="420" customFormat="1" ht="14.4" thickTop="1">
      <c r="A77" s="500"/>
      <c r="B77" s="485">
        <f>B25</f>
        <v>111</v>
      </c>
      <c r="C77" s="501"/>
      <c r="D77" s="501"/>
      <c r="E77" s="501"/>
      <c r="F77" s="501"/>
      <c r="G77" s="501"/>
      <c r="H77" s="502"/>
      <c r="I77" s="502"/>
      <c r="J77" s="502"/>
      <c r="K77" s="502"/>
      <c r="L77" s="503"/>
      <c r="M77" s="504"/>
      <c r="N77" s="2752"/>
      <c r="O77" s="2752"/>
      <c r="P77" s="2760"/>
      <c r="Q77" s="2743"/>
      <c r="R77" s="2744"/>
      <c r="S77" s="2744"/>
      <c r="T77" s="2744"/>
      <c r="U77" s="2744"/>
      <c r="V77" s="2744"/>
      <c r="W77" s="2744"/>
      <c r="X77" s="2744"/>
      <c r="Y77" s="2744"/>
      <c r="Z77" s="2744"/>
      <c r="AA77" s="2744"/>
      <c r="AB77" s="2744"/>
      <c r="AC77" s="2744"/>
    </row>
    <row r="78" spans="1:29" s="420" customFormat="1" ht="14.4" thickBot="1">
      <c r="A78" s="500"/>
      <c r="B78" s="490"/>
      <c r="C78" s="507"/>
      <c r="D78" s="507"/>
      <c r="E78" s="507"/>
      <c r="F78" s="507"/>
      <c r="G78" s="483"/>
      <c r="H78" s="483"/>
      <c r="I78" s="483"/>
      <c r="J78" s="483"/>
      <c r="K78" s="483"/>
      <c r="L78" s="483"/>
      <c r="M78" s="484"/>
      <c r="N78" s="2752"/>
      <c r="O78" s="2752"/>
      <c r="P78" s="2760"/>
      <c r="Q78" s="2743"/>
      <c r="R78" s="2744"/>
      <c r="S78" s="2744"/>
      <c r="T78" s="2744"/>
      <c r="U78" s="2744"/>
      <c r="V78" s="2744"/>
      <c r="W78" s="2744"/>
      <c r="X78" s="2744"/>
      <c r="Y78" s="2744"/>
      <c r="Z78" s="2744"/>
      <c r="AA78" s="2744"/>
      <c r="AB78" s="2744"/>
      <c r="AC78" s="2744"/>
    </row>
    <row r="79" spans="1:29" ht="29.4" thickTop="1">
      <c r="A79" s="474" t="s">
        <v>1694</v>
      </c>
      <c r="B79" s="475" t="s">
        <v>1853</v>
      </c>
      <c r="C79" s="476" t="str">
        <f>C26</f>
        <v>车库</v>
      </c>
      <c r="D79" s="477"/>
      <c r="E79" s="477"/>
      <c r="F79" s="477"/>
      <c r="G79" s="477"/>
      <c r="H79" s="477"/>
      <c r="I79" s="477"/>
      <c r="J79" s="477"/>
      <c r="K79" s="478"/>
      <c r="L79" s="479"/>
      <c r="M79" s="480"/>
      <c r="N79" s="2750"/>
      <c r="O79" s="2750"/>
      <c r="P79" s="2759"/>
      <c r="Q79" s="2736"/>
      <c r="R79" s="2722"/>
      <c r="S79" s="2722"/>
      <c r="T79" s="2722"/>
      <c r="U79" s="2722"/>
      <c r="V79" s="2722"/>
      <c r="W79" s="2722"/>
      <c r="X79" s="2722"/>
      <c r="Y79" s="2722"/>
      <c r="Z79" s="2722"/>
      <c r="AA79" s="2722"/>
      <c r="AB79" s="2722"/>
      <c r="AC79" s="2722"/>
    </row>
    <row r="80" spans="1:29" ht="14.4"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51"/>
      <c r="O80" s="2751"/>
      <c r="P80" s="2759"/>
      <c r="Q80" s="2736"/>
      <c r="R80" s="2722"/>
      <c r="S80" s="2722"/>
      <c r="T80" s="2722"/>
      <c r="U80" s="2722"/>
      <c r="V80" s="2722"/>
      <c r="W80" s="2722"/>
      <c r="X80" s="2722"/>
      <c r="Y80" s="2722"/>
      <c r="Z80" s="2722"/>
      <c r="AA80" s="2722"/>
      <c r="AB80" s="2722"/>
      <c r="AC80" s="2722"/>
    </row>
    <row r="81" spans="1:29" ht="15" thickTop="1">
      <c r="A81" s="481"/>
      <c r="B81" s="485" t="s">
        <v>1854</v>
      </c>
      <c r="C81" s="607"/>
      <c r="D81" s="607"/>
      <c r="E81" s="607"/>
      <c r="F81" s="607"/>
      <c r="G81" s="607"/>
      <c r="H81" s="607"/>
      <c r="I81" s="607"/>
      <c r="J81" s="607"/>
      <c r="K81" s="608"/>
      <c r="L81" s="609"/>
      <c r="M81" s="610"/>
      <c r="N81" s="2749"/>
      <c r="O81" s="2749"/>
      <c r="P81" s="2759"/>
      <c r="Q81" s="2736"/>
      <c r="R81" s="2722"/>
      <c r="S81" s="2722"/>
      <c r="T81" s="2722"/>
      <c r="U81" s="2722"/>
      <c r="V81" s="2722"/>
      <c r="W81" s="2722"/>
      <c r="X81" s="2722"/>
      <c r="Y81" s="2722"/>
      <c r="Z81" s="2722"/>
      <c r="AA81" s="2722"/>
      <c r="AB81" s="2722"/>
      <c r="AC81" s="2722"/>
    </row>
    <row r="82" spans="1:29" s="420" customFormat="1" ht="14.4" thickBot="1">
      <c r="A82" s="500"/>
      <c r="B82" s="490"/>
      <c r="C82" s="507"/>
      <c r="D82" s="483"/>
      <c r="E82" s="483"/>
      <c r="F82" s="483"/>
      <c r="G82" s="483"/>
      <c r="H82" s="483"/>
      <c r="I82" s="483"/>
      <c r="J82" s="483"/>
      <c r="K82" s="483"/>
      <c r="L82" s="483"/>
      <c r="M82" s="484"/>
      <c r="N82" s="2751"/>
      <c r="O82" s="2751"/>
      <c r="P82" s="2760"/>
      <c r="Q82" s="2743"/>
      <c r="R82" s="2744"/>
      <c r="S82" s="2744"/>
      <c r="T82" s="2744"/>
      <c r="U82" s="2744"/>
      <c r="V82" s="2744"/>
      <c r="W82" s="2744"/>
      <c r="X82" s="2744"/>
      <c r="Y82" s="2744"/>
      <c r="Z82" s="2744"/>
      <c r="AA82" s="2744"/>
      <c r="AB82" s="2744"/>
      <c r="AC82" s="2744"/>
    </row>
    <row r="83" spans="1:29" ht="15" thickTop="1">
      <c r="A83" s="546"/>
      <c r="B83" s="485" t="s">
        <v>1740</v>
      </c>
      <c r="C83" s="501"/>
      <c r="D83" s="501"/>
      <c r="E83" s="530"/>
      <c r="F83" s="530"/>
      <c r="G83" s="530"/>
      <c r="H83" s="530"/>
      <c r="I83" s="530"/>
      <c r="J83" s="530"/>
      <c r="K83" s="531"/>
      <c r="L83" s="532"/>
      <c r="M83" s="533"/>
      <c r="N83" s="2750"/>
      <c r="O83" s="2750"/>
      <c r="P83" s="2759"/>
      <c r="Q83" s="2736"/>
      <c r="R83" s="2722"/>
      <c r="S83" s="2722"/>
      <c r="T83" s="2722"/>
      <c r="U83" s="2722"/>
      <c r="V83" s="2722"/>
      <c r="W83" s="2722"/>
      <c r="X83" s="2722"/>
      <c r="Y83" s="2722"/>
      <c r="Z83" s="2722"/>
      <c r="AA83" s="2722"/>
      <c r="AB83" s="2722"/>
      <c r="AC83" s="2722"/>
    </row>
    <row r="84" spans="1:29" ht="14.4"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50"/>
      <c r="O85" s="2750"/>
      <c r="P85" s="2759"/>
      <c r="Q85" s="2736"/>
      <c r="R85" s="2722"/>
      <c r="S85" s="2722"/>
      <c r="T85" s="2722"/>
      <c r="U85" s="2722"/>
      <c r="V85" s="2722"/>
      <c r="W85" s="2722"/>
      <c r="X85" s="2722"/>
      <c r="Y85" s="2722"/>
      <c r="Z85" s="2722"/>
      <c r="AA85" s="2722"/>
      <c r="AB85" s="2722"/>
      <c r="AC85" s="2722"/>
    </row>
    <row r="86" spans="1:29">
      <c r="A86" s="546"/>
      <c r="B86" s="493"/>
      <c r="C86" s="550">
        <v>0.5</v>
      </c>
      <c r="D86" s="550">
        <v>0.6</v>
      </c>
      <c r="E86" s="550">
        <v>0.7</v>
      </c>
      <c r="F86" s="550">
        <v>0.8</v>
      </c>
      <c r="G86" s="550">
        <v>0.9</v>
      </c>
      <c r="H86" s="550">
        <v>1.0001</v>
      </c>
      <c r="I86" s="569"/>
      <c r="J86" s="569"/>
      <c r="K86" s="570"/>
      <c r="L86" s="571"/>
      <c r="M86" s="572"/>
      <c r="N86" s="2750"/>
      <c r="O86" s="2750"/>
      <c r="P86" s="2759"/>
      <c r="Q86" s="2736"/>
      <c r="R86" s="2722"/>
      <c r="S86" s="2722"/>
      <c r="T86" s="2722"/>
      <c r="U86" s="2722"/>
      <c r="V86" s="2722"/>
      <c r="W86" s="2722"/>
      <c r="X86" s="2722"/>
      <c r="Y86" s="2722"/>
      <c r="Z86" s="2722"/>
      <c r="AA86" s="2722"/>
      <c r="AB86" s="2722"/>
      <c r="AC86" s="2722"/>
    </row>
    <row r="87" spans="1:29" ht="14.4"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6"/>
      <c r="B88" s="493" t="s">
        <v>1856</v>
      </c>
      <c r="C88" s="477"/>
      <c r="D88" s="477"/>
      <c r="E88" s="477"/>
      <c r="F88" s="477"/>
      <c r="G88" s="477"/>
      <c r="H88" s="477"/>
      <c r="I88" s="477"/>
      <c r="J88" s="477"/>
      <c r="K88" s="478"/>
      <c r="L88" s="479"/>
      <c r="M88" s="480"/>
      <c r="N88" s="2750"/>
      <c r="O88" s="2750"/>
      <c r="P88" s="2759"/>
      <c r="Q88" s="2736"/>
      <c r="R88" s="2722"/>
      <c r="S88" s="2722"/>
      <c r="T88" s="2722"/>
      <c r="U88" s="2722"/>
      <c r="V88" s="2722"/>
      <c r="W88" s="2722"/>
      <c r="X88" s="2722"/>
      <c r="Y88" s="2722"/>
      <c r="Z88" s="2722"/>
      <c r="AA88" s="2722"/>
      <c r="AB88" s="2722"/>
      <c r="AC88" s="2722"/>
    </row>
    <row r="89" spans="1:29" ht="14.4"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51"/>
      <c r="O89" s="2751"/>
      <c r="P89" s="2759"/>
      <c r="Q89" s="2736"/>
      <c r="R89" s="2722"/>
      <c r="S89" s="2722"/>
      <c r="T89" s="2722"/>
      <c r="U89" s="2722"/>
      <c r="V89" s="2722"/>
      <c r="W89" s="2722"/>
      <c r="X89" s="2722"/>
      <c r="Y89" s="2722"/>
      <c r="Z89" s="2722"/>
      <c r="AA89" s="2722"/>
      <c r="AB89" s="2722"/>
      <c r="AC89" s="2722"/>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52"/>
      <c r="O90" s="2752"/>
      <c r="P90" s="2760"/>
      <c r="Q90" s="2743"/>
      <c r="R90" s="2744"/>
      <c r="S90" s="2744"/>
      <c r="T90" s="2744"/>
      <c r="U90" s="2744"/>
      <c r="V90" s="2744"/>
      <c r="W90" s="2744"/>
      <c r="X90" s="2744"/>
      <c r="Y90" s="2744"/>
      <c r="Z90" s="2744"/>
      <c r="AA90" s="2744"/>
      <c r="AB90" s="2744"/>
      <c r="AC90" s="2744"/>
    </row>
    <row r="91" spans="1:29" s="420" customFormat="1">
      <c r="A91" s="540"/>
      <c r="B91" s="493"/>
      <c r="C91" s="542"/>
      <c r="D91" s="542"/>
      <c r="E91" s="542"/>
      <c r="F91" s="542"/>
      <c r="G91" s="542"/>
      <c r="H91" s="542"/>
      <c r="I91" s="542"/>
      <c r="J91" s="543"/>
      <c r="K91" s="543"/>
      <c r="L91" s="544"/>
      <c r="M91" s="545"/>
      <c r="N91" s="2752"/>
      <c r="O91" s="2752"/>
      <c r="P91" s="2760"/>
      <c r="Q91" s="2743"/>
      <c r="R91" s="2744"/>
      <c r="S91" s="2744"/>
      <c r="T91" s="2744"/>
      <c r="U91" s="2744"/>
      <c r="V91" s="2744"/>
      <c r="W91" s="2744"/>
      <c r="X91" s="2744"/>
      <c r="Y91" s="2744"/>
      <c r="Z91" s="2744"/>
      <c r="AA91" s="2744"/>
      <c r="AB91" s="2744"/>
      <c r="AC91" s="2744"/>
    </row>
    <row r="92" spans="1:29" s="420" customFormat="1" ht="14.4" thickBot="1">
      <c r="A92" s="500"/>
      <c r="B92" s="490"/>
      <c r="C92" s="507"/>
      <c r="D92" s="483"/>
      <c r="E92" s="483"/>
      <c r="F92" s="483"/>
      <c r="G92" s="483"/>
      <c r="H92" s="483"/>
      <c r="I92" s="483"/>
      <c r="J92" s="483"/>
      <c r="K92" s="483"/>
      <c r="L92" s="483"/>
      <c r="M92" s="484"/>
      <c r="N92" s="2752"/>
      <c r="O92" s="2752"/>
      <c r="P92" s="2760"/>
      <c r="Q92" s="2743"/>
      <c r="R92" s="2744"/>
      <c r="S92" s="2744"/>
      <c r="T92" s="2744"/>
      <c r="U92" s="2744"/>
      <c r="V92" s="2744"/>
      <c r="W92" s="2744"/>
      <c r="X92" s="2744"/>
      <c r="Y92" s="2744"/>
      <c r="Z92" s="2744"/>
      <c r="AA92" s="2744"/>
      <c r="AB92" s="2744"/>
      <c r="AC92" s="2744"/>
    </row>
    <row r="93" spans="1:29" ht="15" thickTop="1">
      <c r="A93" s="546"/>
      <c r="B93" s="485" t="s">
        <v>1858</v>
      </c>
      <c r="C93" s="501"/>
      <c r="D93" s="501"/>
      <c r="E93" s="530"/>
      <c r="F93" s="530"/>
      <c r="G93" s="530"/>
      <c r="H93" s="530"/>
      <c r="I93" s="530"/>
      <c r="J93" s="530"/>
      <c r="K93" s="531"/>
      <c r="L93" s="532"/>
      <c r="M93" s="533"/>
      <c r="N93" s="2750"/>
      <c r="O93" s="2750"/>
      <c r="P93" s="2759"/>
      <c r="Q93" s="2736"/>
      <c r="R93" s="2722"/>
      <c r="S93" s="2722"/>
      <c r="T93" s="2722"/>
      <c r="U93" s="2722"/>
      <c r="V93" s="2722"/>
      <c r="W93" s="2722"/>
      <c r="X93" s="2722"/>
      <c r="Y93" s="2722"/>
      <c r="Z93" s="2722"/>
      <c r="AA93" s="2722"/>
      <c r="AB93" s="2722"/>
      <c r="AC93" s="2722"/>
    </row>
    <row r="94" spans="1:29" ht="14.4"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6"/>
      <c r="B95" s="485" t="s">
        <v>1859</v>
      </c>
      <c r="C95" s="477"/>
      <c r="D95" s="477"/>
      <c r="E95" s="477"/>
      <c r="F95" s="477"/>
      <c r="G95" s="477"/>
      <c r="H95" s="477"/>
      <c r="I95" s="477"/>
      <c r="J95" s="477"/>
      <c r="K95" s="478"/>
      <c r="L95" s="479"/>
      <c r="M95" s="480"/>
      <c r="N95" s="2750"/>
      <c r="O95" s="2750"/>
      <c r="P95" s="2759"/>
      <c r="Q95" s="2736"/>
      <c r="R95" s="2722"/>
      <c r="S95" s="2722"/>
      <c r="T95" s="2722"/>
      <c r="U95" s="2722"/>
      <c r="V95" s="2722"/>
      <c r="W95" s="2722"/>
      <c r="X95" s="2722"/>
      <c r="Y95" s="2722"/>
      <c r="Z95" s="2722"/>
      <c r="AA95" s="2722"/>
      <c r="AB95" s="2722"/>
      <c r="AC95" s="2722"/>
    </row>
    <row r="96" spans="1:29" ht="14.4" thickBot="1">
      <c r="A96" s="481"/>
      <c r="B96" s="490"/>
      <c r="C96" s="491">
        <v>100</v>
      </c>
      <c r="D96" s="491">
        <f>C96-$K33</f>
        <v>100</v>
      </c>
      <c r="E96" s="491">
        <f>D96-$K33</f>
        <v>100</v>
      </c>
      <c r="F96" s="491">
        <f>E96-$K33</f>
        <v>100</v>
      </c>
      <c r="G96" s="491">
        <f>F96-$K33</f>
        <v>100</v>
      </c>
      <c r="H96" s="491"/>
      <c r="I96" s="491"/>
      <c r="J96" s="491"/>
      <c r="K96" s="491"/>
      <c r="L96" s="491"/>
      <c r="M96" s="492"/>
      <c r="N96" s="2751"/>
      <c r="O96" s="2751"/>
      <c r="P96" s="2759"/>
      <c r="Q96" s="2736"/>
      <c r="R96" s="2722"/>
      <c r="S96" s="2722"/>
      <c r="T96" s="2722"/>
      <c r="U96" s="2722"/>
      <c r="V96" s="2722"/>
      <c r="W96" s="2722"/>
      <c r="X96" s="2722"/>
      <c r="Y96" s="2722"/>
      <c r="Z96" s="2722"/>
      <c r="AA96" s="2722"/>
      <c r="AB96" s="2722"/>
      <c r="AC96" s="2722"/>
    </row>
    <row r="97" spans="1:29" ht="14.4" thickTop="1">
      <c r="A97" s="546"/>
      <c r="B97" s="582">
        <f>B34</f>
        <v>111</v>
      </c>
      <c r="C97" s="496"/>
      <c r="D97" s="496"/>
      <c r="E97" s="496"/>
      <c r="F97" s="496"/>
      <c r="G97" s="501"/>
      <c r="H97" s="502"/>
      <c r="I97" s="502"/>
      <c r="J97" s="502"/>
      <c r="K97" s="502"/>
      <c r="L97" s="503"/>
      <c r="M97" s="504"/>
      <c r="N97" s="2751"/>
      <c r="O97" s="2751"/>
      <c r="P97" s="2764"/>
      <c r="Q97" s="2765"/>
      <c r="R97" s="2722"/>
      <c r="S97" s="2722"/>
      <c r="T97" s="2722"/>
      <c r="U97" s="2722"/>
      <c r="V97" s="2722"/>
      <c r="W97" s="2722"/>
      <c r="X97" s="2722"/>
      <c r="Y97" s="2722"/>
      <c r="Z97" s="2722"/>
      <c r="AA97" s="2722"/>
      <c r="AB97" s="2722"/>
      <c r="AC97" s="2722"/>
    </row>
    <row r="98" spans="1:29" ht="14.4" thickBot="1">
      <c r="A98" s="481"/>
      <c r="B98" s="490"/>
      <c r="C98" s="507"/>
      <c r="D98" s="483"/>
      <c r="E98" s="483"/>
      <c r="F98" s="483"/>
      <c r="G98" s="507"/>
      <c r="H98" s="509"/>
      <c r="I98" s="509"/>
      <c r="J98" s="509"/>
      <c r="K98" s="509"/>
      <c r="L98" s="509"/>
      <c r="M98" s="510"/>
      <c r="N98" s="2751"/>
      <c r="O98" s="2751"/>
      <c r="P98" s="2759"/>
      <c r="Q98" s="2736"/>
      <c r="R98" s="2722"/>
      <c r="S98" s="2722"/>
      <c r="T98" s="2722"/>
      <c r="U98" s="2722"/>
      <c r="V98" s="2722"/>
      <c r="W98" s="2722"/>
      <c r="X98" s="2722"/>
      <c r="Y98" s="2722"/>
      <c r="Z98" s="2722"/>
      <c r="AA98" s="2722"/>
      <c r="AB98" s="2722"/>
      <c r="AC98" s="2722"/>
    </row>
    <row r="99" spans="1:29" s="420" customFormat="1" ht="14.4" thickTop="1">
      <c r="A99" s="540"/>
      <c r="B99" s="485">
        <f>B35</f>
        <v>111</v>
      </c>
      <c r="C99" s="496"/>
      <c r="D99" s="496"/>
      <c r="E99" s="496"/>
      <c r="F99" s="496"/>
      <c r="G99" s="501"/>
      <c r="H99" s="502"/>
      <c r="I99" s="502"/>
      <c r="J99" s="502"/>
      <c r="K99" s="502"/>
      <c r="L99" s="503"/>
      <c r="M99" s="504"/>
      <c r="N99" s="2752"/>
      <c r="O99" s="2752"/>
      <c r="P99" s="2760"/>
      <c r="Q99" s="2743"/>
      <c r="R99" s="2744"/>
      <c r="S99" s="2744"/>
      <c r="T99" s="2744"/>
      <c r="U99" s="2744"/>
      <c r="V99" s="2744"/>
      <c r="W99" s="2744"/>
      <c r="X99" s="2744"/>
      <c r="Y99" s="2744"/>
      <c r="Z99" s="2744"/>
      <c r="AA99" s="2744"/>
      <c r="AB99" s="2744"/>
      <c r="AC99" s="2744"/>
    </row>
    <row r="100" spans="1:29" s="420" customFormat="1" ht="14.4" thickBot="1">
      <c r="A100" s="500"/>
      <c r="B100" s="482"/>
      <c r="C100" s="507"/>
      <c r="D100" s="483"/>
      <c r="E100" s="483"/>
      <c r="F100" s="483"/>
      <c r="G100" s="507"/>
      <c r="H100" s="509"/>
      <c r="I100" s="509"/>
      <c r="J100" s="509"/>
      <c r="K100" s="509"/>
      <c r="L100" s="509"/>
      <c r="M100" s="510"/>
      <c r="N100" s="2752"/>
      <c r="O100" s="2752"/>
      <c r="P100" s="2760"/>
      <c r="Q100" s="2743"/>
      <c r="R100" s="2744"/>
      <c r="S100" s="2744"/>
      <c r="T100" s="2744"/>
      <c r="U100" s="2744"/>
      <c r="V100" s="2744"/>
      <c r="W100" s="2744"/>
      <c r="X100" s="2744"/>
      <c r="Y100" s="2744"/>
      <c r="Z100" s="2744"/>
      <c r="AA100" s="2744"/>
      <c r="AB100" s="2744"/>
      <c r="AC100" s="2744"/>
    </row>
    <row r="101" spans="1:29" ht="14.4" thickTop="1">
      <c r="A101" s="546"/>
      <c r="B101" s="485">
        <f>B36</f>
        <v>111</v>
      </c>
      <c r="C101" s="501"/>
      <c r="D101" s="501"/>
      <c r="E101" s="501"/>
      <c r="F101" s="501"/>
      <c r="G101" s="501"/>
      <c r="H101" s="502"/>
      <c r="I101" s="502"/>
      <c r="J101" s="502"/>
      <c r="K101" s="502"/>
      <c r="L101" s="503"/>
      <c r="M101" s="504"/>
      <c r="N101" s="2750"/>
      <c r="O101" s="2750"/>
      <c r="P101" s="2759"/>
      <c r="Q101" s="2736"/>
      <c r="R101" s="2722"/>
      <c r="S101" s="2722"/>
      <c r="T101" s="2722"/>
      <c r="U101" s="2722"/>
      <c r="V101" s="2722"/>
      <c r="W101" s="2722"/>
      <c r="X101" s="2722"/>
      <c r="Y101" s="2722"/>
      <c r="Z101" s="2722"/>
      <c r="AA101" s="2722"/>
      <c r="AB101" s="2722"/>
      <c r="AC101" s="2722"/>
    </row>
    <row r="102" spans="1:29" ht="14.4" thickBot="1">
      <c r="A102" s="481"/>
      <c r="B102" s="490"/>
      <c r="C102" s="507"/>
      <c r="D102" s="507"/>
      <c r="E102" s="507"/>
      <c r="F102" s="507"/>
      <c r="G102" s="507"/>
      <c r="H102" s="509"/>
      <c r="I102" s="509"/>
      <c r="J102" s="509"/>
      <c r="K102" s="509"/>
      <c r="L102" s="509"/>
      <c r="M102" s="510"/>
      <c r="N102" s="2751"/>
      <c r="O102" s="2751"/>
      <c r="P102" s="2759"/>
      <c r="Q102" s="2736"/>
      <c r="R102" s="2722"/>
      <c r="S102" s="2722"/>
      <c r="T102" s="2722"/>
      <c r="U102" s="2722"/>
      <c r="V102" s="2722"/>
      <c r="W102" s="2722"/>
      <c r="X102" s="2722"/>
      <c r="Y102" s="2722"/>
      <c r="Z102" s="2722"/>
      <c r="AA102" s="2722"/>
      <c r="AB102" s="2722"/>
      <c r="AC102" s="2722"/>
    </row>
    <row r="103" spans="1:29" ht="14.4"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90" sqref="Q90"/>
    </sheetView>
  </sheetViews>
  <sheetFormatPr defaultColWidth="9" defaultRowHeight="13.8"/>
  <cols>
    <col min="1" max="1" width="10.44140625" style="355" customWidth="1"/>
    <col min="2" max="2" width="15.77734375" style="355" customWidth="1"/>
    <col min="3" max="3" width="14.33203125" style="355" customWidth="1"/>
    <col min="4" max="4" width="12.21875" style="355" customWidth="1"/>
    <col min="5" max="5" width="14.33203125" style="355" customWidth="1"/>
    <col min="6" max="6" width="12.21875" style="355" customWidth="1"/>
    <col min="7" max="7" width="14.44140625" style="355" customWidth="1"/>
    <col min="8" max="8" width="12.21875" style="355" customWidth="1"/>
    <col min="9" max="9" width="14.44140625" style="355" customWidth="1"/>
    <col min="10" max="10" width="12.21875" style="355" customWidth="1"/>
    <col min="11" max="11" width="12.21875" style="442" customWidth="1"/>
    <col min="12" max="12" width="12.21875" style="443" customWidth="1"/>
    <col min="13" max="15" width="12.21875" style="355" customWidth="1"/>
    <col min="16" max="16" width="4.77734375" style="355" customWidth="1"/>
    <col min="17" max="17" width="19.44140625" style="355" customWidth="1"/>
    <col min="18" max="22" width="6.109375" style="355" customWidth="1"/>
    <col min="23" max="23" width="5.77734375" style="355" customWidth="1"/>
    <col min="24" max="24" width="4.21875" style="355" customWidth="1"/>
    <col min="25" max="25" width="3.44140625" style="355" customWidth="1"/>
    <col min="26" max="26" width="19.77734375" style="355" customWidth="1"/>
    <col min="27" max="28" width="9.33203125" style="355" customWidth="1"/>
    <col min="29" max="16384" width="9" style="355"/>
  </cols>
  <sheetData>
    <row r="1" spans="1:29" s="1230" customFormat="1" ht="28.5" customHeight="1" thickBot="1">
      <c r="A1" s="1219" t="s">
        <v>1831</v>
      </c>
      <c r="B1" s="1220" t="s">
        <v>3343</v>
      </c>
      <c r="C1" s="1221" t="s">
        <v>1662</v>
      </c>
      <c r="D1" s="1222"/>
      <c r="E1" s="3432"/>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1"/>
      <c r="M2" s="2732"/>
      <c r="N2" s="2732"/>
      <c r="O2" s="2732"/>
      <c r="P2" s="697"/>
      <c r="Q2" s="697"/>
      <c r="R2" s="697"/>
      <c r="S2" s="697"/>
      <c r="T2" s="697"/>
      <c r="U2" s="697"/>
      <c r="V2" s="697"/>
      <c r="W2" s="697"/>
      <c r="X2" s="697"/>
      <c r="Y2" s="697"/>
      <c r="Z2" s="697"/>
      <c r="AA2" s="697"/>
      <c r="AB2" s="697"/>
      <c r="AC2" s="698"/>
    </row>
    <row r="3" spans="1:29" s="350" customFormat="1" ht="28.5" customHeight="1" thickBot="1">
      <c r="A3" s="201" t="s">
        <v>1464</v>
      </c>
      <c r="B3" s="556" t="e">
        <f>IF(C2="——",C37,ROUND(B2*10000/D3,0))</f>
        <v>#DIV/0!</v>
      </c>
      <c r="C3" s="352" t="s">
        <v>1768</v>
      </c>
      <c r="D3" s="351">
        <f>SUMIF('数据-汇总表'!$C19:$C33,D1,'数据-汇总表'!$E19:$E33)</f>
        <v>0</v>
      </c>
      <c r="E3" s="905"/>
      <c r="F3" s="906"/>
      <c r="G3" s="905"/>
      <c r="H3" s="905"/>
      <c r="I3" s="905"/>
      <c r="J3" s="905"/>
      <c r="K3" s="907"/>
      <c r="L3" s="2731"/>
      <c r="M3" s="2732"/>
      <c r="N3" s="2732"/>
      <c r="O3" s="2732"/>
      <c r="P3" s="697"/>
      <c r="Q3" s="697"/>
      <c r="R3" s="697"/>
      <c r="S3" s="697"/>
      <c r="T3" s="697"/>
      <c r="U3" s="697"/>
      <c r="V3" s="697"/>
      <c r="W3" s="697"/>
      <c r="X3" s="697"/>
      <c r="Y3" s="697"/>
      <c r="Z3" s="697"/>
      <c r="AA3" s="697"/>
      <c r="AB3" s="714"/>
      <c r="AC3" s="711"/>
    </row>
    <row r="4" spans="1:29" ht="14.4">
      <c r="A4" s="353" t="s">
        <v>1769</v>
      </c>
      <c r="B4" s="354"/>
      <c r="C4" s="3709" t="s">
        <v>1770</v>
      </c>
      <c r="D4" s="3710"/>
      <c r="E4" s="3711" t="s">
        <v>1771</v>
      </c>
      <c r="F4" s="3712"/>
      <c r="G4" s="3709" t="s">
        <v>1772</v>
      </c>
      <c r="H4" s="3710"/>
      <c r="I4" s="3709" t="s">
        <v>1773</v>
      </c>
      <c r="J4" s="3710"/>
      <c r="K4" s="557" t="s">
        <v>1774</v>
      </c>
      <c r="L4" s="2712"/>
      <c r="M4" s="2713"/>
      <c r="N4" s="2713"/>
      <c r="O4" s="2713"/>
      <c r="P4" s="3713" t="s">
        <v>1775</v>
      </c>
      <c r="Q4" s="3714"/>
      <c r="R4" s="3719" t="s">
        <v>1771</v>
      </c>
      <c r="S4" s="3720"/>
      <c r="T4" s="3719" t="s">
        <v>1772</v>
      </c>
      <c r="U4" s="3720"/>
      <c r="V4" s="3725" t="s">
        <v>1773</v>
      </c>
      <c r="W4" s="3725"/>
      <c r="X4" s="1352"/>
      <c r="Y4" s="3719" t="s">
        <v>1775</v>
      </c>
      <c r="Z4" s="3720"/>
      <c r="AA4" s="3706" t="s">
        <v>1771</v>
      </c>
      <c r="AB4" s="3707" t="s">
        <v>1772</v>
      </c>
      <c r="AC4" s="3706" t="s">
        <v>1773</v>
      </c>
    </row>
    <row r="5" spans="1:29">
      <c r="A5" s="356"/>
      <c r="B5" s="357"/>
      <c r="C5" s="3728" t="s">
        <v>1673</v>
      </c>
      <c r="D5" s="3729"/>
      <c r="E5" s="3735" t="s">
        <v>1674</v>
      </c>
      <c r="F5" s="3736"/>
      <c r="G5" s="3728" t="s">
        <v>1675</v>
      </c>
      <c r="H5" s="3729"/>
      <c r="I5" s="3728" t="s">
        <v>1676</v>
      </c>
      <c r="J5" s="3729"/>
      <c r="K5" s="557"/>
      <c r="L5" s="2712"/>
      <c r="M5" s="2713"/>
      <c r="N5" s="2713"/>
      <c r="O5" s="2713"/>
      <c r="P5" s="3715"/>
      <c r="Q5" s="3716"/>
      <c r="R5" s="3721"/>
      <c r="S5" s="3722"/>
      <c r="T5" s="3721"/>
      <c r="U5" s="3722"/>
      <c r="V5" s="3725"/>
      <c r="W5" s="3725"/>
      <c r="X5" s="1352"/>
      <c r="Y5" s="3721"/>
      <c r="Z5" s="3722"/>
      <c r="AA5" s="3707"/>
      <c r="AB5" s="3707"/>
      <c r="AC5" s="3707"/>
    </row>
    <row r="6" spans="1:29" ht="15" thickBot="1">
      <c r="A6" s="358"/>
      <c r="B6" s="359"/>
      <c r="C6" s="3726" t="s">
        <v>1677</v>
      </c>
      <c r="D6" s="3727"/>
      <c r="E6" s="3733" t="s">
        <v>1677</v>
      </c>
      <c r="F6" s="3734"/>
      <c r="G6" s="3726" t="s">
        <v>1677</v>
      </c>
      <c r="H6" s="3727"/>
      <c r="I6" s="3726" t="s">
        <v>1677</v>
      </c>
      <c r="J6" s="3727"/>
      <c r="K6" s="557" t="s">
        <v>1678</v>
      </c>
      <c r="L6" s="2712"/>
      <c r="M6" s="2713"/>
      <c r="N6" s="2713"/>
      <c r="O6" s="2713"/>
      <c r="P6" s="3717"/>
      <c r="Q6" s="3718"/>
      <c r="R6" s="3721"/>
      <c r="S6" s="3722"/>
      <c r="T6" s="3723"/>
      <c r="U6" s="3724"/>
      <c r="V6" s="3725"/>
      <c r="W6" s="3725"/>
      <c r="X6" s="1352"/>
      <c r="Y6" s="3723"/>
      <c r="Z6" s="3724"/>
      <c r="AA6" s="3708"/>
      <c r="AB6" s="3708"/>
      <c r="AC6" s="3708"/>
    </row>
    <row r="7" spans="1:29" s="107" customFormat="1" ht="15" thickBot="1">
      <c r="A7" s="360" t="s">
        <v>1679</v>
      </c>
      <c r="B7" s="361"/>
      <c r="C7" s="362">
        <f>'数据-取费表'!B2</f>
        <v>44917</v>
      </c>
      <c r="D7" s="363">
        <v>100</v>
      </c>
      <c r="E7" s="364"/>
      <c r="F7" s="365">
        <f>SUMIF(46:46,YEAR(E7)&amp;"-"&amp;MONTH(E7),47:47)</f>
        <v>0</v>
      </c>
      <c r="G7" s="1971"/>
      <c r="H7" s="363">
        <f>SUMIF(46:46,YEAR(G7)&amp;"-"&amp;MONTH(G7),47:47)</f>
        <v>0</v>
      </c>
      <c r="I7" s="364"/>
      <c r="J7" s="363">
        <f>SUMIF(46:46,YEAR(I7)&amp;"-"&amp;MONTH(I7),47:47)</f>
        <v>0</v>
      </c>
      <c r="K7" s="558"/>
      <c r="L7" s="2714"/>
      <c r="M7" s="2715"/>
      <c r="N7" s="2715"/>
      <c r="O7" s="2715"/>
      <c r="P7" s="3730" t="s">
        <v>1680</v>
      </c>
      <c r="Q7" s="3732"/>
      <c r="R7" s="699" t="s">
        <v>14</v>
      </c>
      <c r="S7" s="700">
        <f t="shared" ref="S7:S14" si="0">F7</f>
        <v>0</v>
      </c>
      <c r="T7" s="699" t="s">
        <v>14</v>
      </c>
      <c r="U7" s="700">
        <f t="shared" ref="U7:U14" si="1">H7</f>
        <v>0</v>
      </c>
      <c r="V7" s="699" t="s">
        <v>14</v>
      </c>
      <c r="W7" s="700">
        <f t="shared" ref="W7:W14" si="2">J7</f>
        <v>0</v>
      </c>
      <c r="X7" s="701"/>
      <c r="Y7" s="3730" t="s">
        <v>1680</v>
      </c>
      <c r="Z7" s="3731"/>
      <c r="AA7" s="702" t="e">
        <f>D7/F7</f>
        <v>#DIV/0!</v>
      </c>
      <c r="AB7" s="702" t="e">
        <f>D7/H7</f>
        <v>#DIV/0!</v>
      </c>
      <c r="AC7" s="702" t="e">
        <f>D7/J7</f>
        <v>#DIV/0!</v>
      </c>
    </row>
    <row r="8" spans="1:29" s="107" customFormat="1" ht="1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14"/>
      <c r="M8" s="2715"/>
      <c r="N8" s="2715"/>
      <c r="O8" s="2715"/>
      <c r="P8" s="3730" t="s">
        <v>1683</v>
      </c>
      <c r="Q8" s="3731"/>
      <c r="R8" s="699" t="s">
        <v>14</v>
      </c>
      <c r="S8" s="700">
        <f t="shared" si="0"/>
        <v>100</v>
      </c>
      <c r="T8" s="699" t="s">
        <v>14</v>
      </c>
      <c r="U8" s="700">
        <f t="shared" si="1"/>
        <v>100</v>
      </c>
      <c r="V8" s="699" t="s">
        <v>14</v>
      </c>
      <c r="W8" s="700">
        <f t="shared" si="2"/>
        <v>100</v>
      </c>
      <c r="X8" s="701"/>
      <c r="Y8" s="3730" t="s">
        <v>1683</v>
      </c>
      <c r="Z8" s="3731"/>
      <c r="AA8" s="702">
        <f t="shared" ref="AA8:AA34" si="3">D8/F8</f>
        <v>1</v>
      </c>
      <c r="AB8" s="702">
        <f t="shared" ref="AB8:AB34" si="4">D8/H8</f>
        <v>1</v>
      </c>
      <c r="AC8" s="702">
        <f t="shared" ref="AC8:AC34" si="5">D8/J8</f>
        <v>1</v>
      </c>
    </row>
    <row r="9" spans="1:29" s="107" customFormat="1" ht="14.4">
      <c r="A9" s="367" t="s">
        <v>1684</v>
      </c>
      <c r="B9" s="63" t="s">
        <v>1685</v>
      </c>
      <c r="C9" s="368"/>
      <c r="D9" s="124">
        <v>100</v>
      </c>
      <c r="E9" s="371"/>
      <c r="F9" s="370">
        <f>SUMIF(51:51,E9,52:52)-SUMIF(51:51,C9,52:52)+100</f>
        <v>100</v>
      </c>
      <c r="G9" s="371"/>
      <c r="H9" s="124">
        <f>SUMIF(51:51,G9,52:52)-SUMIF(51:51,C9,52:52)+100</f>
        <v>100</v>
      </c>
      <c r="I9" s="371"/>
      <c r="J9" s="124">
        <f>SUMIF(51:51,I9,52:52)-SUMIF(51:51,C9,52:52)+100</f>
        <v>100</v>
      </c>
      <c r="K9" s="558"/>
      <c r="L9" s="2714"/>
      <c r="M9" s="2715"/>
      <c r="N9" s="2715"/>
      <c r="O9" s="2769"/>
      <c r="P9" s="3694" t="s">
        <v>1686</v>
      </c>
      <c r="Q9" s="1340" t="str">
        <f t="shared" ref="Q9:Q14" si="6">B9</f>
        <v>用途</v>
      </c>
      <c r="R9" s="699" t="s">
        <v>14</v>
      </c>
      <c r="S9" s="700">
        <f t="shared" si="0"/>
        <v>100</v>
      </c>
      <c r="T9" s="699" t="s">
        <v>14</v>
      </c>
      <c r="U9" s="700">
        <f t="shared" si="1"/>
        <v>100</v>
      </c>
      <c r="V9" s="699" t="s">
        <v>14</v>
      </c>
      <c r="W9" s="700">
        <f t="shared" si="2"/>
        <v>100</v>
      </c>
      <c r="X9" s="701"/>
      <c r="Y9" s="3550" t="s">
        <v>1687</v>
      </c>
      <c r="Z9" s="52" t="str">
        <f t="shared" ref="Z9:Z14" si="7">Q9</f>
        <v>用途</v>
      </c>
      <c r="AA9" s="702">
        <f t="shared" si="3"/>
        <v>1</v>
      </c>
      <c r="AB9" s="702">
        <f t="shared" si="4"/>
        <v>1</v>
      </c>
      <c r="AC9" s="702">
        <f t="shared" si="5"/>
        <v>1</v>
      </c>
    </row>
    <row r="10" spans="1:29" s="376" customFormat="1" ht="28.8">
      <c r="A10" s="372"/>
      <c r="B10" s="373" t="s">
        <v>1688</v>
      </c>
      <c r="C10" s="3434"/>
      <c r="D10" s="125">
        <v>100</v>
      </c>
      <c r="E10" s="3434"/>
      <c r="F10" s="374">
        <f>SUMIF(53:53,E10,54:54)-SUMIF(53:53,C10,54:54)+100</f>
        <v>100</v>
      </c>
      <c r="G10" s="3434"/>
      <c r="H10" s="125">
        <f>SUMIF(53:53,G10,54:54)-SUMIF(53:53,C10,54:54)+100</f>
        <v>100</v>
      </c>
      <c r="I10" s="3434"/>
      <c r="J10" s="125">
        <f>SUMIF(53:53,I10,54:54)-SUMIF(53:53,C10,54:54)+100</f>
        <v>100</v>
      </c>
      <c r="K10" s="558"/>
      <c r="L10" s="2716"/>
      <c r="M10" s="2717"/>
      <c r="N10" s="2717"/>
      <c r="O10" s="2770"/>
      <c r="P10" s="3694"/>
      <c r="Q10" s="1340" t="str">
        <f t="shared" si="6"/>
        <v>土地使用年限（年）</v>
      </c>
      <c r="R10" s="699" t="s">
        <v>14</v>
      </c>
      <c r="S10" s="700">
        <f t="shared" si="0"/>
        <v>100</v>
      </c>
      <c r="T10" s="699" t="s">
        <v>14</v>
      </c>
      <c r="U10" s="700">
        <f t="shared" si="1"/>
        <v>100</v>
      </c>
      <c r="V10" s="699" t="s">
        <v>14</v>
      </c>
      <c r="W10" s="700">
        <f t="shared" si="2"/>
        <v>100</v>
      </c>
      <c r="X10" s="701"/>
      <c r="Y10" s="3550"/>
      <c r="Z10" s="52" t="str">
        <f t="shared" si="7"/>
        <v>土地使用年限（年）</v>
      </c>
      <c r="AA10" s="702">
        <f t="shared" si="3"/>
        <v>1</v>
      </c>
      <c r="AB10" s="702">
        <f t="shared" si="4"/>
        <v>1</v>
      </c>
      <c r="AC10" s="702">
        <f t="shared" si="5"/>
        <v>1</v>
      </c>
    </row>
    <row r="11" spans="1:29" ht="15">
      <c r="A11" s="377"/>
      <c r="B11" s="1890">
        <v>111</v>
      </c>
      <c r="C11" s="381"/>
      <c r="D11" s="125">
        <v>100</v>
      </c>
      <c r="E11" s="418"/>
      <c r="F11" s="374">
        <f>SUMIF(55:55,E11,56:56)-SUMIF(55:55,C11,56:56)+100</f>
        <v>100</v>
      </c>
      <c r="G11" s="418"/>
      <c r="H11" s="125">
        <f>SUMIF(55:55,G11,56:56)-SUMIF(55:55,C11,56:56)+100</f>
        <v>100</v>
      </c>
      <c r="I11" s="418"/>
      <c r="J11" s="125">
        <f>SUMIF(55:55,I11,56:56)-SUMIF(55:55,C11,56:56)+100</f>
        <v>100</v>
      </c>
      <c r="K11" s="560"/>
      <c r="L11" s="2718"/>
      <c r="M11" s="2713"/>
      <c r="N11" s="2713"/>
      <c r="O11" s="2771"/>
      <c r="P11" s="3694"/>
      <c r="Q11" s="1340">
        <f t="shared" si="6"/>
        <v>111</v>
      </c>
      <c r="R11" s="699" t="s">
        <v>14</v>
      </c>
      <c r="S11" s="700">
        <f t="shared" si="0"/>
        <v>100</v>
      </c>
      <c r="T11" s="699" t="s">
        <v>14</v>
      </c>
      <c r="U11" s="700">
        <f t="shared" si="1"/>
        <v>100</v>
      </c>
      <c r="V11" s="699" t="s">
        <v>14</v>
      </c>
      <c r="W11" s="700">
        <f t="shared" si="2"/>
        <v>100</v>
      </c>
      <c r="X11" s="701"/>
      <c r="Y11" s="3550"/>
      <c r="Z11" s="52">
        <f t="shared" si="7"/>
        <v>111</v>
      </c>
      <c r="AA11" s="702">
        <f t="shared" si="3"/>
        <v>1</v>
      </c>
      <c r="AB11" s="702">
        <f t="shared" si="4"/>
        <v>1</v>
      </c>
      <c r="AC11" s="702">
        <f t="shared" si="5"/>
        <v>1</v>
      </c>
    </row>
    <row r="12" spans="1:29" s="107" customFormat="1" ht="15">
      <c r="A12" s="380"/>
      <c r="B12" s="1890">
        <v>111</v>
      </c>
      <c r="C12" s="381"/>
      <c r="D12" s="382">
        <v>100</v>
      </c>
      <c r="E12" s="418"/>
      <c r="F12" s="374">
        <f>SUMIF(57:57,E12,58:58)-SUMIF(57:57,C12,58:58)+100</f>
        <v>100</v>
      </c>
      <c r="G12" s="418"/>
      <c r="H12" s="125">
        <f>SUMIF(57:57,G12,58:58)-SUMIF(57:57,C12,58:58)+100</f>
        <v>100</v>
      </c>
      <c r="I12" s="418"/>
      <c r="J12" s="125">
        <f>SUMIF(57:57,I12,58:58)-SUMIF(57:57,C12,58:58)+100</f>
        <v>100</v>
      </c>
      <c r="K12" s="560"/>
      <c r="L12" s="2714"/>
      <c r="M12" s="2715"/>
      <c r="N12" s="2715"/>
      <c r="O12" s="2769"/>
      <c r="P12" s="3694"/>
      <c r="Q12" s="1340">
        <f t="shared" si="6"/>
        <v>111</v>
      </c>
      <c r="R12" s="699" t="s">
        <v>14</v>
      </c>
      <c r="S12" s="700">
        <f t="shared" si="0"/>
        <v>100</v>
      </c>
      <c r="T12" s="699" t="s">
        <v>14</v>
      </c>
      <c r="U12" s="700">
        <f t="shared" si="1"/>
        <v>100</v>
      </c>
      <c r="V12" s="699" t="s">
        <v>14</v>
      </c>
      <c r="W12" s="700">
        <f t="shared" si="2"/>
        <v>100</v>
      </c>
      <c r="X12" s="701"/>
      <c r="Y12" s="3550"/>
      <c r="Z12" s="52">
        <f t="shared" si="7"/>
        <v>111</v>
      </c>
      <c r="AA12" s="702">
        <f>D12/F12</f>
        <v>1</v>
      </c>
      <c r="AB12" s="702">
        <f>D12/H12</f>
        <v>1</v>
      </c>
      <c r="AC12" s="702">
        <f>D12/J12</f>
        <v>1</v>
      </c>
    </row>
    <row r="13" spans="1:29" ht="15.6" thickBot="1">
      <c r="A13" s="377"/>
      <c r="B13" s="1890">
        <v>111</v>
      </c>
      <c r="C13" s="383"/>
      <c r="D13" s="384">
        <v>100</v>
      </c>
      <c r="E13" s="418"/>
      <c r="F13" s="374">
        <f>SUMIF(59:59,E13,60:60)-SUMIF(59:59,C13,60:60)+100</f>
        <v>100</v>
      </c>
      <c r="G13" s="1972"/>
      <c r="H13" s="387">
        <f>SUMIF(59:59,G13,60:60)-SUMIF(59:59,C13,60:60)+100</f>
        <v>100</v>
      </c>
      <c r="I13" s="418"/>
      <c r="J13" s="384">
        <f>SUMIF(59:59,I13,60:60)-SUMIF(59:59,C13,60:60)+100</f>
        <v>100</v>
      </c>
      <c r="K13" s="560"/>
      <c r="L13" s="2719"/>
      <c r="M13" s="2713"/>
      <c r="N13" s="2713"/>
      <c r="O13" s="2771"/>
      <c r="P13" s="3694"/>
      <c r="Q13" s="1340">
        <f t="shared" si="6"/>
        <v>111</v>
      </c>
      <c r="R13" s="699" t="s">
        <v>14</v>
      </c>
      <c r="S13" s="700">
        <f t="shared" si="0"/>
        <v>100</v>
      </c>
      <c r="T13" s="699" t="s">
        <v>14</v>
      </c>
      <c r="U13" s="700">
        <f t="shared" si="1"/>
        <v>100</v>
      </c>
      <c r="V13" s="699" t="s">
        <v>14</v>
      </c>
      <c r="W13" s="700">
        <f t="shared" si="2"/>
        <v>100</v>
      </c>
      <c r="X13" s="701"/>
      <c r="Y13" s="3550"/>
      <c r="Z13" s="52">
        <f t="shared" si="7"/>
        <v>111</v>
      </c>
      <c r="AA13" s="702">
        <f t="shared" si="3"/>
        <v>1</v>
      </c>
      <c r="AB13" s="702">
        <f t="shared" si="4"/>
        <v>1</v>
      </c>
      <c r="AC13" s="702">
        <f t="shared" si="5"/>
        <v>1</v>
      </c>
    </row>
    <row r="14" spans="1:29" ht="96.6">
      <c r="A14" s="389" t="s">
        <v>1690</v>
      </c>
      <c r="B14" s="61" t="s">
        <v>1833</v>
      </c>
      <c r="C14" s="1968"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719"/>
      <c r="M14" s="2713"/>
      <c r="N14" s="2713"/>
      <c r="O14" s="2771"/>
      <c r="P14" s="3696" t="s">
        <v>1691</v>
      </c>
      <c r="Q14" s="1349" t="str">
        <f t="shared" si="6"/>
        <v>交通便捷度</v>
      </c>
      <c r="R14" s="703" t="s">
        <v>14</v>
      </c>
      <c r="S14" s="704">
        <f t="shared" si="0"/>
        <v>100</v>
      </c>
      <c r="T14" s="703" t="s">
        <v>14</v>
      </c>
      <c r="U14" s="704">
        <f t="shared" si="1"/>
        <v>100</v>
      </c>
      <c r="V14" s="703" t="s">
        <v>14</v>
      </c>
      <c r="W14" s="704">
        <f t="shared" si="2"/>
        <v>100</v>
      </c>
      <c r="X14" s="1352"/>
      <c r="Y14" s="3696" t="s">
        <v>1691</v>
      </c>
      <c r="Z14" s="1353" t="str">
        <f t="shared" si="7"/>
        <v>交通便捷度</v>
      </c>
      <c r="AA14" s="1350">
        <f t="shared" si="3"/>
        <v>1</v>
      </c>
      <c r="AB14" s="1350">
        <f t="shared" si="4"/>
        <v>1</v>
      </c>
      <c r="AC14" s="1350">
        <f t="shared" si="5"/>
        <v>1</v>
      </c>
    </row>
    <row r="15" spans="1:29" ht="15">
      <c r="A15" s="377"/>
      <c r="B15" s="395"/>
      <c r="C15" s="396"/>
      <c r="D15" s="397"/>
      <c r="E15" s="396"/>
      <c r="F15" s="398"/>
      <c r="G15" s="396"/>
      <c r="H15" s="399"/>
      <c r="I15" s="396"/>
      <c r="J15" s="397"/>
      <c r="K15" s="562"/>
      <c r="L15" s="2719"/>
      <c r="M15" s="2713"/>
      <c r="N15" s="2713"/>
      <c r="O15" s="2771"/>
      <c r="P15" s="3697"/>
      <c r="Q15" s="1349"/>
      <c r="R15" s="703"/>
      <c r="S15" s="704"/>
      <c r="T15" s="703"/>
      <c r="U15" s="704"/>
      <c r="V15" s="703"/>
      <c r="W15" s="704"/>
      <c r="X15" s="1352"/>
      <c r="Y15" s="3697"/>
      <c r="Z15" s="1353"/>
      <c r="AA15" s="1350">
        <v>1</v>
      </c>
      <c r="AB15" s="1350">
        <v>1</v>
      </c>
      <c r="AC15" s="1350">
        <v>1</v>
      </c>
    </row>
    <row r="16" spans="1:29" ht="41.4">
      <c r="A16" s="377"/>
      <c r="B16" s="400" t="s">
        <v>1812</v>
      </c>
      <c r="C16" s="1897" t="str">
        <f>IF(B1="工业",估价对象房地状况!G5,估价对象房地状况!C7)</f>
        <v>估价对象所在区域公共配套设施齐备情况</v>
      </c>
      <c r="D16" s="404">
        <v>100</v>
      </c>
      <c r="E16" s="406"/>
      <c r="F16" s="407">
        <f>SUMIF(63:63,E17,64:64)-SUMIF(63:63,C17,64:64)+100</f>
        <v>100</v>
      </c>
      <c r="G16" s="408"/>
      <c r="H16" s="404">
        <f>SUMIF(63:63,G17,64:64)-SUMIF(63:63,C17,64:64)+100</f>
        <v>100</v>
      </c>
      <c r="I16" s="406"/>
      <c r="J16" s="404">
        <f>SUMIF(63:63,I17,64:64)-SUMIF(63:63,C17,64:64)+100</f>
        <v>100</v>
      </c>
      <c r="K16" s="561"/>
      <c r="L16" s="2719"/>
      <c r="M16" s="2713"/>
      <c r="N16" s="2713"/>
      <c r="O16" s="2771"/>
      <c r="P16" s="3697"/>
      <c r="Q16" s="1349" t="str">
        <f>B16</f>
        <v>公共配套设施</v>
      </c>
      <c r="R16" s="703" t="s">
        <v>14</v>
      </c>
      <c r="S16" s="704">
        <f>F16</f>
        <v>100</v>
      </c>
      <c r="T16" s="703" t="s">
        <v>14</v>
      </c>
      <c r="U16" s="704">
        <f>H16</f>
        <v>100</v>
      </c>
      <c r="V16" s="703" t="s">
        <v>14</v>
      </c>
      <c r="W16" s="704">
        <f>J16</f>
        <v>100</v>
      </c>
      <c r="X16" s="1352"/>
      <c r="Y16" s="3697"/>
      <c r="Z16" s="1353" t="str">
        <f>Q16</f>
        <v>公共配套设施</v>
      </c>
      <c r="AA16" s="1350">
        <f t="shared" si="3"/>
        <v>1</v>
      </c>
      <c r="AB16" s="1350">
        <f t="shared" si="4"/>
        <v>1</v>
      </c>
      <c r="AC16" s="1350">
        <f t="shared" si="5"/>
        <v>1</v>
      </c>
    </row>
    <row r="17" spans="1:29" ht="15">
      <c r="A17" s="377"/>
      <c r="B17" s="405"/>
      <c r="C17" s="1898"/>
      <c r="D17" s="397"/>
      <c r="E17" s="396"/>
      <c r="F17" s="398"/>
      <c r="G17" s="396"/>
      <c r="H17" s="397"/>
      <c r="I17" s="396"/>
      <c r="J17" s="397"/>
      <c r="K17" s="562"/>
      <c r="L17" s="2719"/>
      <c r="M17" s="2713"/>
      <c r="N17" s="2713"/>
      <c r="O17" s="2771"/>
      <c r="P17" s="3697"/>
      <c r="Q17" s="1349"/>
      <c r="R17" s="703"/>
      <c r="S17" s="704"/>
      <c r="T17" s="703"/>
      <c r="U17" s="704"/>
      <c r="V17" s="703"/>
      <c r="W17" s="704"/>
      <c r="X17" s="1352"/>
      <c r="Y17" s="3697"/>
      <c r="Z17" s="1353"/>
      <c r="AA17" s="1350">
        <v>1</v>
      </c>
      <c r="AB17" s="1350">
        <v>1</v>
      </c>
      <c r="AC17" s="1350">
        <v>1</v>
      </c>
    </row>
    <row r="18" spans="1:29" ht="41.4">
      <c r="A18" s="377"/>
      <c r="B18" s="1128" t="s">
        <v>1813</v>
      </c>
      <c r="C18" s="1897" t="str">
        <f>IF(B1="工业",估价对象房地状况!G6,估价对象房地状况!C8)</f>
        <v>估价对象所在区域基础设施水平</v>
      </c>
      <c r="D18" s="404">
        <v>100</v>
      </c>
      <c r="E18" s="401"/>
      <c r="F18" s="407">
        <f>SUMIF(65:65,E19,66:66)-SUMIF(65:65,C19,66:66)+100</f>
        <v>100</v>
      </c>
      <c r="G18" s="403"/>
      <c r="H18" s="404">
        <f>SUMIF(65:65,G19,66:66)-SUMIF(65:65,C19,66:66)+100</f>
        <v>100</v>
      </c>
      <c r="I18" s="406"/>
      <c r="J18" s="404">
        <f>SUMIF(65:65,I19,66:66)-SUMIF(65:65,C19,66:66)+100</f>
        <v>100</v>
      </c>
      <c r="K18" s="561"/>
      <c r="L18" s="2719"/>
      <c r="M18" s="2713"/>
      <c r="N18" s="2713"/>
      <c r="O18" s="2771"/>
      <c r="P18" s="3697"/>
      <c r="Q18" s="1349" t="str">
        <f>B18</f>
        <v>基础设施水平</v>
      </c>
      <c r="R18" s="703" t="s">
        <v>14</v>
      </c>
      <c r="S18" s="704">
        <f>F18</f>
        <v>100</v>
      </c>
      <c r="T18" s="703" t="s">
        <v>14</v>
      </c>
      <c r="U18" s="704">
        <f>H18</f>
        <v>100</v>
      </c>
      <c r="V18" s="703" t="s">
        <v>14</v>
      </c>
      <c r="W18" s="704">
        <f>J18</f>
        <v>100</v>
      </c>
      <c r="X18" s="1352"/>
      <c r="Y18" s="3697"/>
      <c r="Z18" s="1353" t="str">
        <f>Q18</f>
        <v>基础设施水平</v>
      </c>
      <c r="AA18" s="1350">
        <f t="shared" ref="AA18" si="8">D18/F18</f>
        <v>1</v>
      </c>
      <c r="AB18" s="1350">
        <f t="shared" ref="AB18" si="9">D18/H18</f>
        <v>1</v>
      </c>
      <c r="AC18" s="1350">
        <f t="shared" ref="AC18" si="10">D18/J18</f>
        <v>1</v>
      </c>
    </row>
    <row r="19" spans="1:29" ht="15">
      <c r="A19" s="377"/>
      <c r="B19" s="1128"/>
      <c r="C19" s="1898"/>
      <c r="D19" s="399"/>
      <c r="E19" s="1898"/>
      <c r="F19" s="402"/>
      <c r="G19" s="1898"/>
      <c r="H19" s="397"/>
      <c r="I19" s="396"/>
      <c r="J19" s="397"/>
      <c r="K19" s="1127"/>
      <c r="L19" s="2719"/>
      <c r="M19" s="2713"/>
      <c r="N19" s="2713"/>
      <c r="O19" s="2771"/>
      <c r="P19" s="3697"/>
      <c r="Q19" s="1349"/>
      <c r="R19" s="703"/>
      <c r="S19" s="704"/>
      <c r="T19" s="703"/>
      <c r="U19" s="704"/>
      <c r="V19" s="703"/>
      <c r="W19" s="704"/>
      <c r="X19" s="1352"/>
      <c r="Y19" s="3697"/>
      <c r="Z19" s="1353"/>
      <c r="AA19" s="1350">
        <v>1</v>
      </c>
      <c r="AB19" s="1350">
        <v>1</v>
      </c>
      <c r="AC19" s="1350">
        <v>1</v>
      </c>
    </row>
    <row r="20" spans="1:29" ht="55.2">
      <c r="A20" s="377"/>
      <c r="B20" s="400" t="s">
        <v>1834</v>
      </c>
      <c r="C20" s="1897" t="str">
        <f>IF(B1="工业",估价对象房地状况!G7,估价对象房地状况!C9)</f>
        <v>区域自然环境：；人文环境；综合评价环境状况一般</v>
      </c>
      <c r="D20" s="404">
        <v>100</v>
      </c>
      <c r="E20" s="406"/>
      <c r="F20" s="407">
        <f>SUMIF(67:67,E21,68:68)-SUMIF(67:67,C21,68:68)+100</f>
        <v>100</v>
      </c>
      <c r="G20" s="408"/>
      <c r="H20" s="399">
        <f>SUMIF(67:67,G21,68:68)-SUMIF(67:67,C21,68:68)+100</f>
        <v>100</v>
      </c>
      <c r="I20" s="401"/>
      <c r="J20" s="399">
        <f>SUMIF(67:67,I21,68:68)-SUMIF(67:67,C21,68:68)+100</f>
        <v>100</v>
      </c>
      <c r="K20" s="561"/>
      <c r="L20" s="2719"/>
      <c r="M20" s="2713"/>
      <c r="N20" s="2713"/>
      <c r="O20" s="2771"/>
      <c r="P20" s="3697"/>
      <c r="Q20" s="1349" t="str">
        <f>B20</f>
        <v>自然及人文环境</v>
      </c>
      <c r="R20" s="703" t="s">
        <v>14</v>
      </c>
      <c r="S20" s="704">
        <f>F20</f>
        <v>100</v>
      </c>
      <c r="T20" s="703" t="s">
        <v>14</v>
      </c>
      <c r="U20" s="704">
        <f>H20</f>
        <v>100</v>
      </c>
      <c r="V20" s="703" t="s">
        <v>14</v>
      </c>
      <c r="W20" s="704">
        <f>J20</f>
        <v>100</v>
      </c>
      <c r="X20" s="1352"/>
      <c r="Y20" s="3697"/>
      <c r="Z20" s="1353" t="str">
        <f>Q20</f>
        <v>自然及人文环境</v>
      </c>
      <c r="AA20" s="1350">
        <f t="shared" si="3"/>
        <v>1</v>
      </c>
      <c r="AB20" s="1350">
        <f t="shared" si="4"/>
        <v>1</v>
      </c>
      <c r="AC20" s="1350">
        <f t="shared" si="5"/>
        <v>1</v>
      </c>
    </row>
    <row r="21" spans="1:29" ht="15">
      <c r="A21" s="377"/>
      <c r="B21" s="405"/>
      <c r="C21" s="396"/>
      <c r="D21" s="397"/>
      <c r="E21" s="396"/>
      <c r="F21" s="398"/>
      <c r="G21" s="396"/>
      <c r="H21" s="397"/>
      <c r="I21" s="396"/>
      <c r="J21" s="397"/>
      <c r="K21" s="562"/>
      <c r="L21" s="2719"/>
      <c r="M21" s="2713"/>
      <c r="N21" s="2713"/>
      <c r="O21" s="2771"/>
      <c r="P21" s="3697"/>
      <c r="Q21" s="1349"/>
      <c r="R21" s="703"/>
      <c r="S21" s="704"/>
      <c r="T21" s="703"/>
      <c r="U21" s="704"/>
      <c r="V21" s="703"/>
      <c r="W21" s="704"/>
      <c r="X21" s="1352"/>
      <c r="Y21" s="3697"/>
      <c r="Z21" s="1353"/>
      <c r="AA21" s="1350">
        <v>1</v>
      </c>
      <c r="AB21" s="1350">
        <v>1</v>
      </c>
      <c r="AC21" s="1350">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19"/>
      <c r="M22" s="2713"/>
      <c r="N22" s="2713"/>
      <c r="O22" s="2771"/>
      <c r="P22" s="3697"/>
      <c r="Q22" s="1349" t="str">
        <f>B22</f>
        <v>楼层</v>
      </c>
      <c r="R22" s="703" t="s">
        <v>14</v>
      </c>
      <c r="S22" s="704">
        <f>F22</f>
        <v>100</v>
      </c>
      <c r="T22" s="703" t="s">
        <v>14</v>
      </c>
      <c r="U22" s="704">
        <f>H22</f>
        <v>100</v>
      </c>
      <c r="V22" s="703" t="s">
        <v>14</v>
      </c>
      <c r="W22" s="704">
        <f>J22</f>
        <v>100</v>
      </c>
      <c r="X22" s="1352"/>
      <c r="Y22" s="3697"/>
      <c r="Z22" s="1353" t="str">
        <f>Q22</f>
        <v>楼层</v>
      </c>
      <c r="AA22" s="1350">
        <f t="shared" si="3"/>
        <v>1</v>
      </c>
      <c r="AB22" s="1350">
        <f t="shared" si="4"/>
        <v>1</v>
      </c>
      <c r="AC22" s="1350">
        <f t="shared" si="5"/>
        <v>1</v>
      </c>
    </row>
    <row r="23" spans="1:29" ht="15">
      <c r="A23" s="356"/>
      <c r="B23" s="1890">
        <v>111</v>
      </c>
      <c r="C23" s="381"/>
      <c r="D23" s="384">
        <v>100</v>
      </c>
      <c r="E23" s="383"/>
      <c r="F23" s="410">
        <f>SUMIF(71:71,E23,72:72)-SUMIF(71:71,C23,72:72)+100</f>
        <v>100</v>
      </c>
      <c r="G23" s="383"/>
      <c r="H23" s="384">
        <f>SUMIF(71:71,G23,72:72)-SUMIF(71:71,C23,72:72)+100</f>
        <v>100</v>
      </c>
      <c r="I23" s="383"/>
      <c r="J23" s="384">
        <f>SUMIF(71:71,I23,72:72)-SUMIF(71:71,C23,72:72)+100</f>
        <v>100</v>
      </c>
      <c r="K23" s="560"/>
      <c r="L23" s="2719"/>
      <c r="M23" s="2713"/>
      <c r="N23" s="2713"/>
      <c r="O23" s="2771"/>
      <c r="P23" s="3697"/>
      <c r="Q23" s="1349">
        <f>B23</f>
        <v>111</v>
      </c>
      <c r="R23" s="703" t="s">
        <v>14</v>
      </c>
      <c r="S23" s="704">
        <f>F23</f>
        <v>100</v>
      </c>
      <c r="T23" s="703" t="s">
        <v>14</v>
      </c>
      <c r="U23" s="704">
        <f>H23</f>
        <v>100</v>
      </c>
      <c r="V23" s="703" t="s">
        <v>14</v>
      </c>
      <c r="W23" s="704">
        <f>J23</f>
        <v>100</v>
      </c>
      <c r="X23" s="1352"/>
      <c r="Y23" s="3697"/>
      <c r="Z23" s="1353">
        <f>Q23</f>
        <v>111</v>
      </c>
      <c r="AA23" s="1350">
        <f t="shared" si="3"/>
        <v>1</v>
      </c>
      <c r="AB23" s="1350">
        <f t="shared" si="4"/>
        <v>1</v>
      </c>
      <c r="AC23" s="1350">
        <f t="shared" si="5"/>
        <v>1</v>
      </c>
    </row>
    <row r="24" spans="1:29" ht="15">
      <c r="A24" s="377"/>
      <c r="B24" s="1890">
        <v>111</v>
      </c>
      <c r="C24" s="381"/>
      <c r="D24" s="384">
        <v>100</v>
      </c>
      <c r="E24" s="383"/>
      <c r="F24" s="410">
        <f>SUMIF(73:73,E24,74:74)-SUMIF(73:73,C24,74:74)+100</f>
        <v>100</v>
      </c>
      <c r="G24" s="383"/>
      <c r="H24" s="384">
        <f>SUMIF(73:73,G24,74:74)-SUMIF(73:73,C24,74:74)+100</f>
        <v>100</v>
      </c>
      <c r="I24" s="383"/>
      <c r="J24" s="384">
        <f>SUMIF(73:73,I24,74:74)-SUMIF(73:73,C24,74:74)+100</f>
        <v>100</v>
      </c>
      <c r="K24" s="560"/>
      <c r="L24" s="2719"/>
      <c r="M24" s="2713"/>
      <c r="N24" s="2713"/>
      <c r="O24" s="2771"/>
      <c r="P24" s="3697"/>
      <c r="Q24" s="1349">
        <f t="shared" ref="Q24:Q34" si="11">B24</f>
        <v>111</v>
      </c>
      <c r="R24" s="703" t="s">
        <v>14</v>
      </c>
      <c r="S24" s="704">
        <f>F24</f>
        <v>100</v>
      </c>
      <c r="T24" s="703" t="s">
        <v>14</v>
      </c>
      <c r="U24" s="704">
        <f>H24</f>
        <v>100</v>
      </c>
      <c r="V24" s="703" t="s">
        <v>14</v>
      </c>
      <c r="W24" s="704">
        <f>J24</f>
        <v>100</v>
      </c>
      <c r="X24" s="1352"/>
      <c r="Y24" s="3697"/>
      <c r="Z24" s="1353">
        <f>Q24</f>
        <v>111</v>
      </c>
      <c r="AA24" s="1350">
        <f t="shared" si="3"/>
        <v>1</v>
      </c>
      <c r="AB24" s="1350">
        <f t="shared" si="4"/>
        <v>1</v>
      </c>
      <c r="AC24" s="1350">
        <f t="shared" si="5"/>
        <v>1</v>
      </c>
    </row>
    <row r="25" spans="1:29" s="107" customFormat="1" ht="15.6" thickBot="1">
      <c r="A25" s="380"/>
      <c r="B25" s="1890">
        <v>111</v>
      </c>
      <c r="C25" s="1973"/>
      <c r="D25" s="611">
        <v>100</v>
      </c>
      <c r="E25" s="1973"/>
      <c r="F25" s="612">
        <f>SUMIF(75:75,E25,76:76)-SUMIF(75:75,C25,76:76)+100</f>
        <v>100</v>
      </c>
      <c r="G25" s="1973"/>
      <c r="H25" s="611">
        <f>SUMIF(75:75,G25,76:76)-SUMIF(75:75,C25,76:76)+100</f>
        <v>100</v>
      </c>
      <c r="I25" s="1973"/>
      <c r="J25" s="611">
        <f>SUMIF(75:75,I25,76:76)-SUMIF(75:75,C25,76:76)+100</f>
        <v>100</v>
      </c>
      <c r="K25" s="560"/>
      <c r="L25" s="2714"/>
      <c r="M25" s="2715"/>
      <c r="N25" s="2715"/>
      <c r="O25" s="2769"/>
      <c r="P25" s="3697"/>
      <c r="Q25" s="1340">
        <f t="shared" si="11"/>
        <v>111</v>
      </c>
      <c r="R25" s="699" t="s">
        <v>14</v>
      </c>
      <c r="S25" s="700">
        <f>F25</f>
        <v>100</v>
      </c>
      <c r="T25" s="699" t="s">
        <v>14</v>
      </c>
      <c r="U25" s="700">
        <f>H25</f>
        <v>100</v>
      </c>
      <c r="V25" s="699" t="s">
        <v>14</v>
      </c>
      <c r="W25" s="700">
        <f>J25</f>
        <v>100</v>
      </c>
      <c r="X25" s="701"/>
      <c r="Y25" s="3697"/>
      <c r="Z25" s="52">
        <f>Q25</f>
        <v>111</v>
      </c>
      <c r="AA25" s="1350">
        <f>D25/F25</f>
        <v>1</v>
      </c>
      <c r="AB25" s="1350">
        <f>D25/H25</f>
        <v>1</v>
      </c>
      <c r="AC25" s="1350">
        <f>D25/J25</f>
        <v>1</v>
      </c>
    </row>
    <row r="26" spans="1:29" ht="30">
      <c r="A26" s="415" t="s">
        <v>1694</v>
      </c>
      <c r="B26" s="63" t="s">
        <v>1838</v>
      </c>
      <c r="C26" s="1964"/>
      <c r="D26" s="416">
        <v>100</v>
      </c>
      <c r="E26" s="1964"/>
      <c r="F26" s="613">
        <f>SUMIF(77:77,E26,78:78)-SUMIF(77:77,C26,78:78)+100</f>
        <v>100</v>
      </c>
      <c r="G26" s="1964"/>
      <c r="H26" s="416">
        <f>SUMIF(77:77,G26,78:78)-SUMIF(77:77,C26,78:78)+100</f>
        <v>100</v>
      </c>
      <c r="I26" s="1964"/>
      <c r="J26" s="416">
        <f>SUMIF(77:77,I26,78:78)-SUMIF(77:77,C26,78:78)+100</f>
        <v>100</v>
      </c>
      <c r="K26" s="559"/>
      <c r="L26" s="2719"/>
      <c r="M26" s="2713"/>
      <c r="N26" s="2713"/>
      <c r="O26" s="2771"/>
      <c r="P26" s="3752" t="s">
        <v>1696</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701" t="s">
        <v>1696</v>
      </c>
      <c r="Z26" s="1353" t="str">
        <f t="shared" ref="Z26:Z34" si="15">Q26</f>
        <v>公共部分装修</v>
      </c>
      <c r="AA26" s="1350">
        <f t="shared" si="3"/>
        <v>1</v>
      </c>
      <c r="AB26" s="1350">
        <f t="shared" si="4"/>
        <v>1</v>
      </c>
      <c r="AC26" s="1350">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8"/>
      <c r="M27" s="2720"/>
      <c r="N27" s="2720"/>
      <c r="O27" s="2772"/>
      <c r="P27" s="3701"/>
      <c r="Q27" s="705" t="str">
        <f t="shared" si="11"/>
        <v>成新率</v>
      </c>
      <c r="R27" s="706" t="s">
        <v>14</v>
      </c>
      <c r="S27" s="707" t="e">
        <f t="shared" si="12"/>
        <v>#N/A</v>
      </c>
      <c r="T27" s="706" t="s">
        <v>14</v>
      </c>
      <c r="U27" s="707" t="e">
        <f t="shared" si="13"/>
        <v>#N/A</v>
      </c>
      <c r="V27" s="706" t="s">
        <v>14</v>
      </c>
      <c r="W27" s="707" t="e">
        <f t="shared" si="14"/>
        <v>#N/A</v>
      </c>
      <c r="X27" s="708"/>
      <c r="Y27" s="3701"/>
      <c r="Z27" s="709" t="str">
        <f t="shared" si="15"/>
        <v>成新率</v>
      </c>
      <c r="AA27" s="1350" t="e">
        <f t="shared" si="3"/>
        <v>#N/A</v>
      </c>
      <c r="AB27" s="1350" t="e">
        <f t="shared" si="4"/>
        <v>#N/A</v>
      </c>
      <c r="AC27" s="1350"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19"/>
      <c r="M28" s="2713"/>
      <c r="N28" s="2713"/>
      <c r="O28" s="2771"/>
      <c r="P28" s="3701"/>
      <c r="Q28" s="1349" t="str">
        <f t="shared" si="11"/>
        <v>物业等级</v>
      </c>
      <c r="R28" s="703" t="s">
        <v>14</v>
      </c>
      <c r="S28" s="704">
        <f t="shared" si="12"/>
        <v>100</v>
      </c>
      <c r="T28" s="703" t="s">
        <v>14</v>
      </c>
      <c r="U28" s="704">
        <f t="shared" si="13"/>
        <v>100</v>
      </c>
      <c r="V28" s="703" t="s">
        <v>14</v>
      </c>
      <c r="W28" s="704">
        <f t="shared" si="14"/>
        <v>100</v>
      </c>
      <c r="X28" s="1352"/>
      <c r="Y28" s="3701"/>
      <c r="Z28" s="1353" t="str">
        <f t="shared" si="15"/>
        <v>物业等级</v>
      </c>
      <c r="AA28" s="1350">
        <f t="shared" si="3"/>
        <v>1</v>
      </c>
      <c r="AB28" s="1350">
        <f t="shared" si="4"/>
        <v>1</v>
      </c>
      <c r="AC28" s="1350">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19"/>
      <c r="M29" s="2713"/>
      <c r="N29" s="2713"/>
      <c r="O29" s="2771"/>
      <c r="P29" s="3701"/>
      <c r="Q29" s="1349" t="str">
        <f t="shared" si="11"/>
        <v>有无电梯</v>
      </c>
      <c r="R29" s="703" t="s">
        <v>14</v>
      </c>
      <c r="S29" s="704">
        <f t="shared" si="12"/>
        <v>100</v>
      </c>
      <c r="T29" s="703" t="s">
        <v>14</v>
      </c>
      <c r="U29" s="704">
        <f t="shared" si="13"/>
        <v>100</v>
      </c>
      <c r="V29" s="703" t="s">
        <v>14</v>
      </c>
      <c r="W29" s="704">
        <f t="shared" si="14"/>
        <v>100</v>
      </c>
      <c r="X29" s="1352"/>
      <c r="Y29" s="3701"/>
      <c r="Z29" s="1353" t="str">
        <f t="shared" si="15"/>
        <v>有无电梯</v>
      </c>
      <c r="AA29" s="1350">
        <f t="shared" si="3"/>
        <v>1</v>
      </c>
      <c r="AB29" s="1350">
        <f t="shared" si="4"/>
        <v>1</v>
      </c>
      <c r="AC29" s="1350">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9"/>
      <c r="M30" s="2713"/>
      <c r="N30" s="2713"/>
      <c r="O30" s="2771"/>
      <c r="P30" s="3701"/>
      <c r="Q30" s="1349" t="str">
        <f t="shared" si="11"/>
        <v>建筑面积</v>
      </c>
      <c r="R30" s="703" t="s">
        <v>14</v>
      </c>
      <c r="S30" s="704" t="e">
        <f t="shared" si="12"/>
        <v>#N/A</v>
      </c>
      <c r="T30" s="703" t="s">
        <v>14</v>
      </c>
      <c r="U30" s="704" t="e">
        <f t="shared" si="13"/>
        <v>#N/A</v>
      </c>
      <c r="V30" s="703" t="s">
        <v>14</v>
      </c>
      <c r="W30" s="704" t="e">
        <f t="shared" si="14"/>
        <v>#N/A</v>
      </c>
      <c r="X30" s="1352"/>
      <c r="Y30" s="3701"/>
      <c r="Z30" s="1353" t="str">
        <f t="shared" si="15"/>
        <v>建筑面积</v>
      </c>
      <c r="AA30" s="1350" t="e">
        <f t="shared" si="3"/>
        <v>#N/A</v>
      </c>
      <c r="AB30" s="1350" t="e">
        <f t="shared" si="4"/>
        <v>#N/A</v>
      </c>
      <c r="AC30" s="1350" t="e">
        <f t="shared" si="5"/>
        <v>#N/A</v>
      </c>
    </row>
    <row r="31" spans="1:29" s="107"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14"/>
      <c r="M31" s="2715"/>
      <c r="N31" s="2715"/>
      <c r="O31" s="2769"/>
      <c r="P31" s="3701"/>
      <c r="Q31" s="1340" t="str">
        <f t="shared" si="11"/>
        <v>是否封闭</v>
      </c>
      <c r="R31" s="699" t="s">
        <v>14</v>
      </c>
      <c r="S31" s="700">
        <f t="shared" si="12"/>
        <v>100</v>
      </c>
      <c r="T31" s="699" t="s">
        <v>14</v>
      </c>
      <c r="U31" s="700">
        <f t="shared" si="13"/>
        <v>100</v>
      </c>
      <c r="V31" s="699" t="s">
        <v>14</v>
      </c>
      <c r="W31" s="700">
        <f t="shared" si="14"/>
        <v>100</v>
      </c>
      <c r="X31" s="701"/>
      <c r="Y31" s="3701"/>
      <c r="Z31" s="52" t="str">
        <f t="shared" si="15"/>
        <v>是否封闭</v>
      </c>
      <c r="AA31" s="702">
        <f t="shared" si="3"/>
        <v>1</v>
      </c>
      <c r="AB31" s="702">
        <f t="shared" si="4"/>
        <v>1</v>
      </c>
      <c r="AC31" s="702">
        <f t="shared" si="5"/>
        <v>1</v>
      </c>
    </row>
    <row r="32" spans="1:29" ht="15">
      <c r="A32" s="421"/>
      <c r="B32" s="1890">
        <v>111</v>
      </c>
      <c r="C32" s="381"/>
      <c r="D32" s="384">
        <v>100</v>
      </c>
      <c r="E32" s="418"/>
      <c r="F32" s="410">
        <f>SUMIF(91:91,E32,92:92)-SUMIF(91:91,C32,92:92)+100</f>
        <v>100</v>
      </c>
      <c r="G32" s="418"/>
      <c r="H32" s="384">
        <f>SUMIF(91:91,G32,92:92)-SUMIF(91:91,C32,92:92)+100</f>
        <v>100</v>
      </c>
      <c r="I32" s="418"/>
      <c r="J32" s="384">
        <f>SUMIF(91:91,I32,92:92)-SUMIF(91:91,C32,92:92)+100</f>
        <v>100</v>
      </c>
      <c r="K32" s="560"/>
      <c r="L32" s="2719"/>
      <c r="M32" s="2713"/>
      <c r="N32" s="2713"/>
      <c r="O32" s="2771"/>
      <c r="P32" s="3701" t="s">
        <v>1696</v>
      </c>
      <c r="Q32" s="1349">
        <f t="shared" si="11"/>
        <v>111</v>
      </c>
      <c r="R32" s="703" t="s">
        <v>14</v>
      </c>
      <c r="S32" s="704">
        <f t="shared" si="12"/>
        <v>100</v>
      </c>
      <c r="T32" s="703" t="s">
        <v>14</v>
      </c>
      <c r="U32" s="704">
        <f t="shared" si="13"/>
        <v>100</v>
      </c>
      <c r="V32" s="703" t="s">
        <v>14</v>
      </c>
      <c r="W32" s="704">
        <f t="shared" si="14"/>
        <v>100</v>
      </c>
      <c r="X32" s="1352"/>
      <c r="Y32" s="3701" t="s">
        <v>1696</v>
      </c>
      <c r="Z32" s="1353">
        <f t="shared" si="15"/>
        <v>111</v>
      </c>
      <c r="AA32" s="1350">
        <f t="shared" si="3"/>
        <v>1</v>
      </c>
      <c r="AB32" s="1350">
        <f t="shared" si="4"/>
        <v>1</v>
      </c>
      <c r="AC32" s="1350">
        <f t="shared" si="5"/>
        <v>1</v>
      </c>
    </row>
    <row r="33" spans="1:30" ht="15">
      <c r="A33" s="421"/>
      <c r="B33" s="1890">
        <v>111</v>
      </c>
      <c r="C33" s="381"/>
      <c r="D33" s="384">
        <v>100</v>
      </c>
      <c r="E33" s="418"/>
      <c r="F33" s="410">
        <f>SUMIF(93:93,E33,94:94)-SUMIF(93:93,C33,94:94)+100</f>
        <v>100</v>
      </c>
      <c r="G33" s="418"/>
      <c r="H33" s="384">
        <f>SUMIF(93:93,G33,94:94)-SUMIF(93:93,C33,94:94)+100</f>
        <v>100</v>
      </c>
      <c r="I33" s="418"/>
      <c r="J33" s="384">
        <f>SUMIF(93:93,I33,94:94)-SUMIF(93:93,C33,94:94)+100</f>
        <v>100</v>
      </c>
      <c r="K33" s="560"/>
      <c r="L33" s="2719"/>
      <c r="M33" s="2713"/>
      <c r="N33" s="2713"/>
      <c r="O33" s="2771"/>
      <c r="P33" s="3701"/>
      <c r="Q33" s="1349">
        <f t="shared" si="11"/>
        <v>111</v>
      </c>
      <c r="R33" s="703" t="s">
        <v>14</v>
      </c>
      <c r="S33" s="704">
        <f t="shared" si="12"/>
        <v>100</v>
      </c>
      <c r="T33" s="703" t="s">
        <v>14</v>
      </c>
      <c r="U33" s="704">
        <f t="shared" si="13"/>
        <v>100</v>
      </c>
      <c r="V33" s="703" t="s">
        <v>14</v>
      </c>
      <c r="W33" s="704">
        <f t="shared" si="14"/>
        <v>100</v>
      </c>
      <c r="X33" s="1352"/>
      <c r="Y33" s="3701"/>
      <c r="Z33" s="1353">
        <f t="shared" si="15"/>
        <v>111</v>
      </c>
      <c r="AA33" s="1350">
        <f t="shared" si="3"/>
        <v>1</v>
      </c>
      <c r="AB33" s="1350">
        <f t="shared" si="4"/>
        <v>1</v>
      </c>
      <c r="AC33" s="1350">
        <f t="shared" si="5"/>
        <v>1</v>
      </c>
    </row>
    <row r="34" spans="1:30" ht="15.6" thickBot="1">
      <c r="A34" s="427"/>
      <c r="B34" s="1892">
        <v>111</v>
      </c>
      <c r="C34" s="386"/>
      <c r="D34" s="387">
        <v>100</v>
      </c>
      <c r="E34" s="1972"/>
      <c r="F34" s="388">
        <f>SUMIF(95:95,E34,96:96)-SUMIF(95:95,C34,96:96)+100</f>
        <v>100</v>
      </c>
      <c r="G34" s="1972"/>
      <c r="H34" s="387">
        <f>SUMIF(95:95,G34,96:96)-SUMIF(95:95,C34,96:96)+100</f>
        <v>100</v>
      </c>
      <c r="I34" s="1972"/>
      <c r="J34" s="387">
        <f>SUMIF(95:95,I34,96:96)-SUMIF(95:95,C34,96:96)+100</f>
        <v>100</v>
      </c>
      <c r="K34" s="560"/>
      <c r="L34" s="2719"/>
      <c r="M34" s="2713"/>
      <c r="N34" s="2713"/>
      <c r="O34" s="2771"/>
      <c r="P34" s="3701"/>
      <c r="Q34" s="1349">
        <f t="shared" si="11"/>
        <v>111</v>
      </c>
      <c r="R34" s="703" t="s">
        <v>14</v>
      </c>
      <c r="S34" s="704">
        <f t="shared" si="12"/>
        <v>100</v>
      </c>
      <c r="T34" s="703" t="s">
        <v>14</v>
      </c>
      <c r="U34" s="704">
        <f t="shared" si="13"/>
        <v>100</v>
      </c>
      <c r="V34" s="703" t="s">
        <v>14</v>
      </c>
      <c r="W34" s="704">
        <f t="shared" si="14"/>
        <v>100</v>
      </c>
      <c r="X34" s="1352"/>
      <c r="Y34" s="3701"/>
      <c r="Z34" s="1353">
        <f t="shared" si="15"/>
        <v>111</v>
      </c>
      <c r="AA34" s="1350">
        <f t="shared" si="3"/>
        <v>1</v>
      </c>
      <c r="AB34" s="1350">
        <f t="shared" si="4"/>
        <v>1</v>
      </c>
      <c r="AC34" s="1350">
        <f t="shared" si="5"/>
        <v>1</v>
      </c>
    </row>
    <row r="35" spans="1:30" ht="14.4">
      <c r="A35" s="428" t="s">
        <v>1708</v>
      </c>
      <c r="B35" s="429"/>
      <c r="C35" s="1151" t="s">
        <v>0</v>
      </c>
      <c r="D35" s="1152"/>
      <c r="E35" s="1153"/>
      <c r="F35" s="1154"/>
      <c r="G35" s="1155"/>
      <c r="H35" s="1156"/>
      <c r="I35" s="1153"/>
      <c r="J35" s="1156"/>
      <c r="K35" s="712"/>
      <c r="L35" s="2721"/>
      <c r="M35" s="2722"/>
      <c r="N35" s="2713"/>
      <c r="O35" s="2722"/>
      <c r="P35" s="3694" t="str">
        <f>A35</f>
        <v>成交单价（元/平方米）</v>
      </c>
      <c r="Q35" s="3694"/>
      <c r="R35" s="3695">
        <f>E35</f>
        <v>0</v>
      </c>
      <c r="S35" s="3695"/>
      <c r="T35" s="3695">
        <f>G35</f>
        <v>0</v>
      </c>
      <c r="U35" s="3695"/>
      <c r="V35" s="3695">
        <f>I35</f>
        <v>0</v>
      </c>
      <c r="W35" s="3695"/>
      <c r="X35" s="688"/>
      <c r="Y35" s="710"/>
      <c r="Z35" s="688"/>
      <c r="AA35" s="688"/>
      <c r="AB35" s="688"/>
      <c r="AC35" s="688"/>
    </row>
    <row r="36" spans="1:30" ht="15" thickBot="1">
      <c r="A36" s="435" t="s">
        <v>1793</v>
      </c>
      <c r="B36" s="436"/>
      <c r="C36" s="1157" t="e">
        <f>R37</f>
        <v>#DIV/0!</v>
      </c>
      <c r="D36" s="2314" t="s">
        <v>2138</v>
      </c>
      <c r="E36" s="1158" t="e">
        <f>R36</f>
        <v>#DIV/0!</v>
      </c>
      <c r="F36" s="2315"/>
      <c r="G36" s="1157" t="e">
        <f>T36</f>
        <v>#DIV/0!</v>
      </c>
      <c r="H36" s="2315"/>
      <c r="I36" s="1158" t="e">
        <f>V36</f>
        <v>#DIV/0!</v>
      </c>
      <c r="J36" s="2315"/>
      <c r="K36" s="2317">
        <f>F36+H36+J36</f>
        <v>0</v>
      </c>
      <c r="L36" s="2721"/>
      <c r="M36" s="2722"/>
      <c r="N36" s="2713"/>
      <c r="O36" s="2722"/>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688"/>
      <c r="Y36" s="688"/>
      <c r="Z36" s="688"/>
      <c r="AA36" s="688"/>
      <c r="AB36" s="688"/>
      <c r="AC36" s="688"/>
    </row>
    <row r="37" spans="1:30" ht="15" thickBot="1">
      <c r="A37" s="439" t="s">
        <v>1794</v>
      </c>
      <c r="B37" s="440"/>
      <c r="C37" s="1160" t="e">
        <f>R37</f>
        <v>#DIV/0!</v>
      </c>
      <c r="D37" s="1160"/>
      <c r="E37" s="1160"/>
      <c r="F37" s="1160"/>
      <c r="G37" s="1160"/>
      <c r="H37" s="1160"/>
      <c r="I37" s="1160"/>
      <c r="J37" s="1160"/>
      <c r="K37" s="713"/>
      <c r="L37" s="2721"/>
      <c r="M37" s="2722"/>
      <c r="N37" s="2722"/>
      <c r="O37" s="2722"/>
      <c r="P37" s="3691" t="str">
        <f>A37</f>
        <v>估价对象XX用房的比较价值（楼面单价，元/平方米）</v>
      </c>
      <c r="Q37" s="3692"/>
      <c r="R37" s="3753" t="e">
        <f>IF(F1="售价",ROUND(IF(D36="简单平均",AVERAGE(R36:W36),R36*F36+T36*H36+V36*J36),0),ROUND(IF(D36="简单平均",AVERAGE(R36:V36),R36*F36+T36*H36+V36*J36),1))</f>
        <v>#DIV/0!</v>
      </c>
      <c r="S37" s="3753"/>
      <c r="T37" s="3753"/>
      <c r="U37" s="3753"/>
      <c r="V37" s="3753"/>
      <c r="W37" s="3753"/>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49" customFormat="1" ht="13.5" customHeight="1">
      <c r="A42" s="2725"/>
      <c r="B42" s="2725"/>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49"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2.2" thickBot="1">
      <c r="A45" s="692" t="s">
        <v>1798</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5" customFormat="1" ht="14.4">
      <c r="A46" s="452" t="s">
        <v>1679</v>
      </c>
      <c r="B46" s="453"/>
      <c r="C46" s="1181" t="str">
        <f>YEAR(C7)&amp;"-"&amp;MONTH(C7)</f>
        <v>2022-12</v>
      </c>
      <c r="D46" s="1182">
        <f>EDATE(C46,-1)</f>
        <v>44866</v>
      </c>
      <c r="E46" s="1182">
        <f t="shared" ref="E46:O46" si="16">EDATE(D46,-1)</f>
        <v>44835</v>
      </c>
      <c r="F46" s="1182">
        <f t="shared" si="16"/>
        <v>44805</v>
      </c>
      <c r="G46" s="1182">
        <f t="shared" si="16"/>
        <v>44774</v>
      </c>
      <c r="H46" s="1182">
        <f t="shared" si="16"/>
        <v>44743</v>
      </c>
      <c r="I46" s="1182">
        <f t="shared" si="16"/>
        <v>44713</v>
      </c>
      <c r="J46" s="1182">
        <f t="shared" si="16"/>
        <v>44682</v>
      </c>
      <c r="K46" s="1182">
        <f t="shared" si="16"/>
        <v>44652</v>
      </c>
      <c r="L46" s="1182">
        <f t="shared" si="16"/>
        <v>44621</v>
      </c>
      <c r="M46" s="1182">
        <f t="shared" si="16"/>
        <v>44593</v>
      </c>
      <c r="N46" s="1182">
        <f t="shared" si="16"/>
        <v>44562</v>
      </c>
      <c r="O46" s="1182">
        <f t="shared" si="16"/>
        <v>44531</v>
      </c>
      <c r="P46" s="2773"/>
      <c r="Q46" s="2738"/>
      <c r="R46" s="2738"/>
      <c r="S46" s="2738"/>
      <c r="T46" s="2738"/>
      <c r="U46" s="2738"/>
      <c r="V46" s="2738"/>
      <c r="W46" s="2738"/>
      <c r="X46" s="2738"/>
      <c r="Y46" s="2738"/>
      <c r="Z46" s="2738"/>
      <c r="AA46" s="2738"/>
      <c r="AB46" s="2738"/>
      <c r="AC46" s="2738"/>
      <c r="AD46" s="2738"/>
    </row>
    <row r="47" spans="1:30" s="107" customFormat="1">
      <c r="A47" s="456"/>
      <c r="B47" s="457"/>
      <c r="C47" s="1180">
        <v>100</v>
      </c>
      <c r="D47" s="459"/>
      <c r="E47" s="459"/>
      <c r="F47" s="459"/>
      <c r="G47" s="459"/>
      <c r="H47" s="459"/>
      <c r="I47" s="459"/>
      <c r="J47" s="459"/>
      <c r="K47" s="459"/>
      <c r="L47" s="459"/>
      <c r="M47" s="460"/>
      <c r="N47" s="459"/>
      <c r="O47" s="461"/>
      <c r="P47" s="2736"/>
      <c r="Q47" s="2658"/>
      <c r="R47" s="2658"/>
      <c r="S47" s="2658"/>
      <c r="T47" s="2658"/>
      <c r="U47" s="2658"/>
      <c r="V47" s="2658"/>
      <c r="W47" s="2658"/>
      <c r="X47" s="2658"/>
      <c r="Y47" s="2658"/>
      <c r="Z47" s="2658"/>
      <c r="AA47" s="2658"/>
      <c r="AB47" s="2658"/>
      <c r="AC47" s="2658"/>
      <c r="AD47" s="2658"/>
    </row>
    <row r="48" spans="1:30" s="107" customFormat="1" ht="15" thickBot="1">
      <c r="A48" s="462" t="s">
        <v>1716</v>
      </c>
      <c r="B48" s="463"/>
      <c r="C48" s="464"/>
      <c r="D48" s="465"/>
      <c r="E48" s="465"/>
      <c r="F48" s="465"/>
      <c r="G48" s="465"/>
      <c r="H48" s="465"/>
      <c r="I48" s="465"/>
      <c r="J48" s="465"/>
      <c r="K48" s="465"/>
      <c r="L48" s="465"/>
      <c r="M48" s="466"/>
      <c r="N48" s="465"/>
      <c r="O48" s="467"/>
      <c r="P48" s="2736"/>
      <c r="Q48" s="2736"/>
      <c r="R48" s="2658"/>
      <c r="S48" s="2658"/>
      <c r="T48" s="2658"/>
      <c r="U48" s="2658"/>
      <c r="V48" s="2658"/>
      <c r="W48" s="2658"/>
      <c r="X48" s="2658"/>
      <c r="Y48" s="2658"/>
      <c r="Z48" s="2658"/>
      <c r="AA48" s="2658"/>
      <c r="AB48" s="2658"/>
      <c r="AC48" s="2658"/>
      <c r="AD48" s="2658"/>
    </row>
    <row r="49" spans="1:30" s="107" customFormat="1" ht="14.4">
      <c r="A49" s="468" t="s">
        <v>1681</v>
      </c>
      <c r="B49" s="457"/>
      <c r="C49" s="469" t="s">
        <v>1776</v>
      </c>
      <c r="D49" s="470"/>
      <c r="E49" s="470"/>
      <c r="F49" s="470"/>
      <c r="G49" s="470"/>
      <c r="H49" s="470"/>
      <c r="I49" s="470"/>
      <c r="J49" s="470"/>
      <c r="K49" s="470"/>
      <c r="L49" s="471"/>
      <c r="M49" s="472"/>
      <c r="N49" s="2749"/>
      <c r="O49" s="2749"/>
      <c r="P49" s="2774"/>
      <c r="Q49" s="2736"/>
      <c r="R49" s="2658"/>
      <c r="S49" s="2658"/>
      <c r="T49" s="2658"/>
      <c r="U49" s="2658"/>
      <c r="V49" s="2658"/>
      <c r="W49" s="2658"/>
      <c r="X49" s="2658"/>
      <c r="Y49" s="2658"/>
      <c r="Z49" s="2658"/>
      <c r="AA49" s="2658"/>
      <c r="AB49" s="2658"/>
      <c r="AC49" s="2658"/>
      <c r="AD49" s="2658"/>
    </row>
    <row r="50" spans="1:30" s="107" customFormat="1" ht="14.4" thickBot="1">
      <c r="A50" s="468"/>
      <c r="B50" s="457"/>
      <c r="C50" s="585">
        <v>100</v>
      </c>
      <c r="D50" s="459"/>
      <c r="E50" s="459"/>
      <c r="F50" s="459"/>
      <c r="G50" s="459"/>
      <c r="H50" s="459"/>
      <c r="I50" s="459"/>
      <c r="J50" s="459"/>
      <c r="K50" s="459"/>
      <c r="L50" s="459"/>
      <c r="M50" s="461"/>
      <c r="N50" s="2749"/>
      <c r="O50" s="2749"/>
      <c r="P50" s="2736"/>
      <c r="Q50" s="2736"/>
      <c r="R50" s="2658"/>
      <c r="S50" s="2658"/>
      <c r="T50" s="2658"/>
      <c r="U50" s="2658"/>
      <c r="V50" s="2658"/>
      <c r="W50" s="2658"/>
      <c r="X50" s="2658"/>
      <c r="Y50" s="2658"/>
      <c r="Z50" s="2658"/>
      <c r="AA50" s="2658"/>
      <c r="AB50" s="2658"/>
      <c r="AC50" s="2658"/>
      <c r="AD50" s="2658"/>
    </row>
    <row r="51" spans="1:30" ht="14.4">
      <c r="A51" s="474" t="s">
        <v>1719</v>
      </c>
      <c r="B51" s="475" t="s">
        <v>1685</v>
      </c>
      <c r="C51" s="476">
        <f>C9</f>
        <v>0</v>
      </c>
      <c r="D51" s="477"/>
      <c r="E51" s="477"/>
      <c r="F51" s="477"/>
      <c r="G51" s="477"/>
      <c r="H51" s="477"/>
      <c r="I51" s="477"/>
      <c r="J51" s="477"/>
      <c r="K51" s="478"/>
      <c r="L51" s="479"/>
      <c r="M51" s="480"/>
      <c r="N51" s="2750"/>
      <c r="O51" s="2750"/>
      <c r="P51" s="2775"/>
      <c r="Q51" s="2736"/>
      <c r="R51" s="2722"/>
      <c r="S51" s="2722"/>
      <c r="T51" s="2722"/>
      <c r="U51" s="2722"/>
      <c r="V51" s="2722"/>
      <c r="W51" s="2722"/>
      <c r="X51" s="2722"/>
      <c r="Y51" s="2722"/>
      <c r="Z51" s="2722"/>
      <c r="AA51" s="2722"/>
      <c r="AB51" s="2722"/>
      <c r="AC51" s="2722"/>
      <c r="AD51" s="2722"/>
    </row>
    <row r="52" spans="1:30" ht="14.4" thickBot="1">
      <c r="A52" s="481"/>
      <c r="B52" s="482"/>
      <c r="C52" s="483">
        <v>100</v>
      </c>
      <c r="D52" s="483"/>
      <c r="E52" s="483"/>
      <c r="F52" s="483"/>
      <c r="G52" s="483"/>
      <c r="H52" s="483"/>
      <c r="I52" s="483"/>
      <c r="J52" s="483"/>
      <c r="K52" s="483"/>
      <c r="L52" s="483"/>
      <c r="M52" s="484"/>
      <c r="N52" s="2751"/>
      <c r="O52" s="2751"/>
      <c r="P52" s="2775"/>
      <c r="Q52" s="2736"/>
      <c r="R52" s="2722"/>
      <c r="S52" s="2722"/>
      <c r="T52" s="2722"/>
      <c r="U52" s="2722"/>
      <c r="V52" s="2722"/>
      <c r="W52" s="2722"/>
      <c r="X52" s="2722"/>
      <c r="Y52" s="2722"/>
      <c r="Z52" s="2722"/>
      <c r="AA52" s="2722"/>
      <c r="AB52" s="2722"/>
      <c r="AC52" s="2722"/>
      <c r="AD52" s="2722"/>
    </row>
    <row r="53" spans="1:30" ht="29.4" thickTop="1">
      <c r="A53" s="481"/>
      <c r="B53" s="485" t="s">
        <v>1688</v>
      </c>
      <c r="C53" s="530"/>
      <c r="D53" s="530"/>
      <c r="E53" s="530"/>
      <c r="F53" s="530"/>
      <c r="G53" s="530"/>
      <c r="H53" s="530"/>
      <c r="I53" s="530"/>
      <c r="J53" s="530"/>
      <c r="K53" s="531"/>
      <c r="L53" s="532"/>
      <c r="M53" s="533"/>
      <c r="N53" s="2750"/>
      <c r="O53" s="2750"/>
      <c r="P53" s="2775"/>
      <c r="Q53" s="2736"/>
      <c r="R53" s="2722"/>
      <c r="S53" s="2722"/>
      <c r="T53" s="2722"/>
      <c r="U53" s="2722"/>
      <c r="V53" s="2722"/>
      <c r="W53" s="2722"/>
      <c r="X53" s="2722"/>
      <c r="Y53" s="2722"/>
      <c r="Z53" s="2722"/>
      <c r="AA53" s="2722"/>
      <c r="AB53" s="2722"/>
      <c r="AC53" s="2722"/>
      <c r="AD53" s="2722"/>
    </row>
    <row r="54" spans="1:30" ht="14.4" thickBot="1">
      <c r="A54" s="481"/>
      <c r="B54" s="490"/>
      <c r="C54" s="483"/>
      <c r="D54" s="483"/>
      <c r="E54" s="483"/>
      <c r="F54" s="483"/>
      <c r="G54" s="483"/>
      <c r="H54" s="483"/>
      <c r="I54" s="483"/>
      <c r="J54" s="483"/>
      <c r="K54" s="483"/>
      <c r="L54" s="483"/>
      <c r="M54" s="484"/>
      <c r="N54" s="2751"/>
      <c r="O54" s="2751"/>
      <c r="P54" s="2775"/>
      <c r="Q54" s="2736"/>
      <c r="R54" s="2722"/>
      <c r="S54" s="2722"/>
      <c r="T54" s="2722"/>
      <c r="U54" s="2722"/>
      <c r="V54" s="2722"/>
      <c r="W54" s="2722"/>
      <c r="X54" s="2722"/>
      <c r="Y54" s="2722"/>
      <c r="Z54" s="2722"/>
      <c r="AA54" s="2722"/>
      <c r="AB54" s="2722"/>
      <c r="AC54" s="2722"/>
      <c r="AD54" s="2722"/>
    </row>
    <row r="55" spans="1:30" ht="14.4" thickTop="1">
      <c r="A55" s="481"/>
      <c r="B55" s="606">
        <f>B11</f>
        <v>111</v>
      </c>
      <c r="C55" s="496"/>
      <c r="D55" s="496"/>
      <c r="E55" s="496"/>
      <c r="F55" s="496"/>
      <c r="G55" s="496"/>
      <c r="H55" s="496"/>
      <c r="I55" s="496"/>
      <c r="J55" s="496"/>
      <c r="K55" s="497"/>
      <c r="L55" s="498"/>
      <c r="M55" s="499"/>
      <c r="N55" s="2750"/>
      <c r="O55" s="2750"/>
      <c r="P55" s="2775"/>
      <c r="Q55" s="2736"/>
      <c r="R55" s="2722"/>
      <c r="S55" s="2722"/>
      <c r="T55" s="2722"/>
      <c r="U55" s="2722"/>
      <c r="V55" s="2722"/>
      <c r="W55" s="2722"/>
      <c r="X55" s="2722"/>
      <c r="Y55" s="2722"/>
      <c r="Z55" s="2722"/>
      <c r="AA55" s="2722"/>
      <c r="AB55" s="2722"/>
      <c r="AC55" s="2722"/>
      <c r="AD55" s="2722"/>
    </row>
    <row r="56" spans="1:30" ht="14.4" thickBot="1">
      <c r="A56" s="481"/>
      <c r="B56" s="482"/>
      <c r="C56" s="507"/>
      <c r="D56" s="483"/>
      <c r="E56" s="483"/>
      <c r="F56" s="483"/>
      <c r="G56" s="483"/>
      <c r="H56" s="483"/>
      <c r="I56" s="483"/>
      <c r="J56" s="483"/>
      <c r="K56" s="483"/>
      <c r="L56" s="483"/>
      <c r="M56" s="484"/>
      <c r="N56" s="2751"/>
      <c r="O56" s="2751"/>
      <c r="P56" s="2775"/>
      <c r="Q56" s="2736"/>
      <c r="R56" s="2722"/>
      <c r="S56" s="2722"/>
      <c r="T56" s="2722"/>
      <c r="U56" s="2722"/>
      <c r="V56" s="2722"/>
      <c r="W56" s="2722"/>
      <c r="X56" s="2722"/>
      <c r="Y56" s="2722"/>
      <c r="Z56" s="2722"/>
      <c r="AA56" s="2722"/>
      <c r="AB56" s="2722"/>
      <c r="AC56" s="2722"/>
      <c r="AD56" s="2722"/>
    </row>
    <row r="57" spans="1:30" s="420" customFormat="1" ht="14.4" thickTop="1">
      <c r="A57" s="500"/>
      <c r="B57" s="485">
        <f>B12</f>
        <v>111</v>
      </c>
      <c r="C57" s="496"/>
      <c r="D57" s="496"/>
      <c r="E57" s="496"/>
      <c r="F57" s="496"/>
      <c r="G57" s="501"/>
      <c r="H57" s="502"/>
      <c r="I57" s="502"/>
      <c r="J57" s="502"/>
      <c r="K57" s="502"/>
      <c r="L57" s="503"/>
      <c r="M57" s="504"/>
      <c r="N57" s="2752"/>
      <c r="O57" s="2752"/>
      <c r="P57" s="2776"/>
      <c r="Q57" s="2743"/>
      <c r="R57" s="2744"/>
      <c r="S57" s="2744"/>
      <c r="T57" s="2744"/>
      <c r="U57" s="2744"/>
      <c r="V57" s="2744"/>
      <c r="W57" s="2744"/>
      <c r="X57" s="2744"/>
      <c r="Y57" s="2744"/>
      <c r="Z57" s="2744"/>
      <c r="AA57" s="2744"/>
      <c r="AB57" s="2744"/>
      <c r="AC57" s="2744"/>
      <c r="AD57" s="2744"/>
    </row>
    <row r="58" spans="1:30" s="420" customFormat="1" ht="14.4" thickBot="1">
      <c r="A58" s="500"/>
      <c r="B58" s="490"/>
      <c r="C58" s="507"/>
      <c r="D58" s="483"/>
      <c r="E58" s="483"/>
      <c r="F58" s="483"/>
      <c r="G58" s="483"/>
      <c r="H58" s="483"/>
      <c r="I58" s="483"/>
      <c r="J58" s="483"/>
      <c r="K58" s="483"/>
      <c r="L58" s="483"/>
      <c r="M58" s="484"/>
      <c r="N58" s="2751"/>
      <c r="O58" s="2751"/>
      <c r="P58" s="2776"/>
      <c r="Q58" s="2743"/>
      <c r="R58" s="2744"/>
      <c r="S58" s="2744"/>
      <c r="T58" s="2744"/>
      <c r="U58" s="2744"/>
      <c r="V58" s="2744"/>
      <c r="W58" s="2744"/>
      <c r="X58" s="2744"/>
      <c r="Y58" s="2744"/>
      <c r="Z58" s="2744"/>
      <c r="AA58" s="2744"/>
      <c r="AB58" s="2744"/>
      <c r="AC58" s="2744"/>
      <c r="AD58" s="2744"/>
    </row>
    <row r="59" spans="1:30" s="420" customFormat="1" ht="14.4" thickTop="1">
      <c r="A59" s="500"/>
      <c r="B59" s="485">
        <f>B13</f>
        <v>111</v>
      </c>
      <c r="C59" s="496"/>
      <c r="D59" s="496"/>
      <c r="E59" s="496"/>
      <c r="F59" s="496"/>
      <c r="G59" s="501"/>
      <c r="H59" s="502"/>
      <c r="I59" s="502"/>
      <c r="J59" s="502"/>
      <c r="K59" s="502"/>
      <c r="L59" s="503"/>
      <c r="M59" s="504"/>
      <c r="N59" s="2752"/>
      <c r="O59" s="2752"/>
      <c r="P59" s="2720"/>
      <c r="Q59" s="2746"/>
      <c r="R59" s="2744"/>
      <c r="S59" s="2744"/>
      <c r="T59" s="2744"/>
      <c r="U59" s="2744"/>
      <c r="V59" s="2744"/>
      <c r="W59" s="2744"/>
      <c r="X59" s="2744"/>
      <c r="Y59" s="2744"/>
      <c r="Z59" s="2744"/>
      <c r="AA59" s="2744"/>
      <c r="AB59" s="2744"/>
      <c r="AC59" s="2744"/>
      <c r="AD59" s="2744"/>
    </row>
    <row r="60" spans="1:30" s="420" customFormat="1" ht="14.4" thickBot="1">
      <c r="A60" s="500"/>
      <c r="B60" s="490"/>
      <c r="C60" s="507"/>
      <c r="D60" s="507"/>
      <c r="E60" s="507"/>
      <c r="F60" s="507"/>
      <c r="G60" s="507"/>
      <c r="H60" s="509"/>
      <c r="I60" s="509"/>
      <c r="J60" s="509"/>
      <c r="K60" s="509"/>
      <c r="L60" s="509"/>
      <c r="M60" s="510"/>
      <c r="N60" s="2752"/>
      <c r="O60" s="2752"/>
      <c r="P60" s="2776"/>
      <c r="Q60" s="2743"/>
      <c r="R60" s="2744"/>
      <c r="S60" s="2744"/>
      <c r="T60" s="2744"/>
      <c r="U60" s="2744"/>
      <c r="V60" s="2744"/>
      <c r="W60" s="2744"/>
      <c r="X60" s="2744"/>
      <c r="Y60" s="2744"/>
      <c r="Z60" s="2744"/>
      <c r="AA60" s="2744"/>
      <c r="AB60" s="2744"/>
      <c r="AC60" s="2744"/>
      <c r="AD60" s="2744"/>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50"/>
      <c r="O61" s="2750"/>
      <c r="P61" s="2777"/>
      <c r="Q61" s="2736"/>
      <c r="R61" s="2722"/>
      <c r="S61" s="2722"/>
      <c r="T61" s="2722"/>
      <c r="U61" s="2722"/>
      <c r="V61" s="2722"/>
      <c r="W61" s="2722"/>
      <c r="X61" s="2722"/>
      <c r="Y61" s="2722"/>
      <c r="Z61" s="2722"/>
      <c r="AA61" s="2722"/>
      <c r="AB61" s="2722"/>
      <c r="AC61" s="2722"/>
      <c r="AD61" s="2722"/>
    </row>
    <row r="62" spans="1:30" ht="14.4" thickBot="1">
      <c r="A62" s="481"/>
      <c r="B62" s="490"/>
      <c r="C62" s="491">
        <v>100</v>
      </c>
      <c r="D62" s="491">
        <f>C62-$K14</f>
        <v>100</v>
      </c>
      <c r="E62" s="491">
        <f>D62-$K14</f>
        <v>100</v>
      </c>
      <c r="F62" s="491">
        <f>E62-$K14</f>
        <v>100</v>
      </c>
      <c r="G62" s="491">
        <f>F62-$K14</f>
        <v>100</v>
      </c>
      <c r="H62" s="491"/>
      <c r="I62" s="491"/>
      <c r="J62" s="491"/>
      <c r="K62" s="491"/>
      <c r="L62" s="491"/>
      <c r="M62" s="492"/>
      <c r="N62" s="2751"/>
      <c r="O62" s="2751"/>
      <c r="P62" s="2775"/>
      <c r="Q62" s="2736"/>
      <c r="R62" s="2722"/>
      <c r="S62" s="2722"/>
      <c r="T62" s="2722"/>
      <c r="U62" s="2722"/>
      <c r="V62" s="2722"/>
      <c r="W62" s="2722"/>
      <c r="X62" s="2722"/>
      <c r="Y62" s="2722"/>
      <c r="Z62" s="2722"/>
      <c r="AA62" s="2722"/>
      <c r="AB62" s="2722"/>
      <c r="AC62" s="2722"/>
      <c r="AD62" s="2722"/>
    </row>
    <row r="63" spans="1:30" ht="29.4" thickTop="1">
      <c r="A63" s="481"/>
      <c r="B63" s="485" t="s">
        <v>1863</v>
      </c>
      <c r="C63" s="525" t="s">
        <v>1721</v>
      </c>
      <c r="D63" s="525" t="s">
        <v>1722</v>
      </c>
      <c r="E63" s="525" t="s">
        <v>1723</v>
      </c>
      <c r="F63" s="525" t="s">
        <v>1724</v>
      </c>
      <c r="G63" s="525" t="s">
        <v>1725</v>
      </c>
      <c r="H63" s="486"/>
      <c r="I63" s="486"/>
      <c r="J63" s="486"/>
      <c r="K63" s="487"/>
      <c r="L63" s="488"/>
      <c r="M63" s="489"/>
      <c r="N63" s="2750"/>
      <c r="O63" s="2750"/>
      <c r="P63" s="2775"/>
      <c r="Q63" s="2736"/>
      <c r="R63" s="2722"/>
      <c r="S63" s="2722"/>
      <c r="T63" s="2722"/>
      <c r="U63" s="2722"/>
      <c r="V63" s="2722"/>
      <c r="W63" s="2722"/>
      <c r="X63" s="2722"/>
      <c r="Y63" s="2722"/>
      <c r="Z63" s="2722"/>
      <c r="AA63" s="2722"/>
      <c r="AB63" s="2722"/>
      <c r="AC63" s="2722"/>
      <c r="AD63" s="2722"/>
    </row>
    <row r="64" spans="1:30" ht="14.4" thickBot="1">
      <c r="A64" s="481"/>
      <c r="B64" s="490"/>
      <c r="C64" s="491">
        <v>100</v>
      </c>
      <c r="D64" s="491">
        <f>C64-$K16</f>
        <v>100</v>
      </c>
      <c r="E64" s="491">
        <f>D64-$K16</f>
        <v>100</v>
      </c>
      <c r="F64" s="491">
        <f>E64-$K16</f>
        <v>100</v>
      </c>
      <c r="G64" s="491">
        <f>F64-$K16</f>
        <v>100</v>
      </c>
      <c r="H64" s="491"/>
      <c r="I64" s="491"/>
      <c r="J64" s="491"/>
      <c r="K64" s="491"/>
      <c r="L64" s="491"/>
      <c r="M64" s="492"/>
      <c r="N64" s="2751"/>
      <c r="O64" s="2751"/>
      <c r="P64" s="2775"/>
      <c r="Q64" s="2736"/>
      <c r="R64" s="2722"/>
      <c r="S64" s="2722"/>
      <c r="T64" s="2722"/>
      <c r="U64" s="2722"/>
      <c r="V64" s="2722"/>
      <c r="W64" s="2722"/>
      <c r="X64" s="2722"/>
      <c r="Y64" s="2722"/>
      <c r="Z64" s="2722"/>
      <c r="AA64" s="2722"/>
      <c r="AB64" s="2722"/>
      <c r="AC64" s="2722"/>
      <c r="AD64" s="2722"/>
    </row>
    <row r="65" spans="1:30" ht="15" thickTop="1">
      <c r="A65" s="481"/>
      <c r="B65" s="493" t="s">
        <v>1813</v>
      </c>
      <c r="C65" s="606" t="s">
        <v>1799</v>
      </c>
      <c r="D65" s="606" t="s">
        <v>1800</v>
      </c>
      <c r="E65" s="606" t="s">
        <v>1801</v>
      </c>
      <c r="F65" s="606" t="s">
        <v>1802</v>
      </c>
      <c r="G65" s="606" t="s">
        <v>1803</v>
      </c>
      <c r="H65" s="486"/>
      <c r="I65" s="486"/>
      <c r="J65" s="486"/>
      <c r="K65" s="486"/>
      <c r="L65" s="486"/>
      <c r="M65" s="1126"/>
      <c r="N65" s="2751"/>
      <c r="O65" s="2751"/>
      <c r="P65" s="2775"/>
      <c r="Q65" s="2736"/>
      <c r="R65" s="2722"/>
      <c r="S65" s="2722"/>
      <c r="T65" s="2722"/>
      <c r="U65" s="2722"/>
      <c r="V65" s="2722"/>
      <c r="W65" s="2722"/>
      <c r="X65" s="2722"/>
      <c r="Y65" s="2722"/>
      <c r="Z65" s="2722"/>
      <c r="AA65" s="2722"/>
      <c r="AB65" s="2722"/>
      <c r="AC65" s="2722"/>
      <c r="AD65" s="2722"/>
    </row>
    <row r="66" spans="1:30" ht="14.4" thickBot="1">
      <c r="A66" s="481"/>
      <c r="B66" s="493"/>
      <c r="C66" s="491">
        <v>100</v>
      </c>
      <c r="D66" s="491">
        <f>C66-$K18</f>
        <v>100</v>
      </c>
      <c r="E66" s="491">
        <f>D66-$K18</f>
        <v>100</v>
      </c>
      <c r="F66" s="491">
        <f>E66-$K18</f>
        <v>100</v>
      </c>
      <c r="G66" s="491">
        <f>F66-$K18</f>
        <v>100</v>
      </c>
      <c r="H66" s="606"/>
      <c r="I66" s="606"/>
      <c r="J66" s="606"/>
      <c r="K66" s="606"/>
      <c r="L66" s="606"/>
      <c r="M66" s="399"/>
      <c r="N66" s="2751"/>
      <c r="O66" s="2751"/>
      <c r="P66" s="2775"/>
      <c r="Q66" s="2736"/>
      <c r="R66" s="2722"/>
      <c r="S66" s="2722"/>
      <c r="T66" s="2722"/>
      <c r="U66" s="2722"/>
      <c r="V66" s="2722"/>
      <c r="W66" s="2722"/>
      <c r="X66" s="2722"/>
      <c r="Y66" s="2722"/>
      <c r="Z66" s="2722"/>
      <c r="AA66" s="2722"/>
      <c r="AB66" s="2722"/>
      <c r="AC66" s="2722"/>
      <c r="AD66" s="2722"/>
    </row>
    <row r="67" spans="1:30" ht="15" thickTop="1">
      <c r="A67" s="481"/>
      <c r="B67" s="485" t="s">
        <v>1733</v>
      </c>
      <c r="C67" s="525" t="s">
        <v>1721</v>
      </c>
      <c r="D67" s="525" t="s">
        <v>1722</v>
      </c>
      <c r="E67" s="525" t="s">
        <v>1723</v>
      </c>
      <c r="F67" s="525" t="s">
        <v>1724</v>
      </c>
      <c r="G67" s="525" t="s">
        <v>1725</v>
      </c>
      <c r="H67" s="486"/>
      <c r="I67" s="486"/>
      <c r="J67" s="486"/>
      <c r="K67" s="487"/>
      <c r="L67" s="488"/>
      <c r="M67" s="489"/>
      <c r="N67" s="2750"/>
      <c r="O67" s="2750"/>
      <c r="P67" s="2775"/>
      <c r="Q67" s="2736"/>
      <c r="R67" s="2722"/>
      <c r="S67" s="2722"/>
      <c r="T67" s="2722"/>
      <c r="U67" s="2722"/>
      <c r="V67" s="2722"/>
      <c r="W67" s="2722"/>
      <c r="X67" s="2722"/>
      <c r="Y67" s="2722"/>
      <c r="Z67" s="2722"/>
      <c r="AA67" s="2722"/>
      <c r="AB67" s="2722"/>
      <c r="AC67" s="2722"/>
      <c r="AD67" s="2722"/>
    </row>
    <row r="68" spans="1:30" ht="14.4" thickBot="1">
      <c r="A68" s="481"/>
      <c r="B68" s="490"/>
      <c r="C68" s="491">
        <v>100</v>
      </c>
      <c r="D68" s="491">
        <f>C68-$K20</f>
        <v>100</v>
      </c>
      <c r="E68" s="491">
        <f>D68-$K20</f>
        <v>100</v>
      </c>
      <c r="F68" s="491">
        <f>E68-$K20</f>
        <v>100</v>
      </c>
      <c r="G68" s="491">
        <f>F68-$K20</f>
        <v>100</v>
      </c>
      <c r="H68" s="491"/>
      <c r="I68" s="491"/>
      <c r="J68" s="491"/>
      <c r="K68" s="491"/>
      <c r="L68" s="491"/>
      <c r="M68" s="492"/>
      <c r="N68" s="2751"/>
      <c r="O68" s="2751"/>
      <c r="P68" s="2775"/>
      <c r="Q68" s="2736"/>
      <c r="R68" s="2722"/>
      <c r="S68" s="2722"/>
      <c r="T68" s="2722"/>
      <c r="U68" s="2722"/>
      <c r="V68" s="2722"/>
      <c r="W68" s="2722"/>
      <c r="X68" s="2722"/>
      <c r="Y68" s="2722"/>
      <c r="Z68" s="2722"/>
      <c r="AA68" s="2722"/>
      <c r="AB68" s="2722"/>
      <c r="AC68" s="2722"/>
      <c r="AD68" s="2722"/>
    </row>
    <row r="69" spans="1:30" ht="15" thickTop="1">
      <c r="A69" s="481"/>
      <c r="B69" s="485" t="s">
        <v>1852</v>
      </c>
      <c r="C69" s="501"/>
      <c r="D69" s="501"/>
      <c r="E69" s="501"/>
      <c r="F69" s="501"/>
      <c r="G69" s="501"/>
      <c r="H69" s="530"/>
      <c r="I69" s="530"/>
      <c r="J69" s="530"/>
      <c r="K69" s="531"/>
      <c r="L69" s="532"/>
      <c r="M69" s="533"/>
      <c r="N69" s="2750"/>
      <c r="O69" s="2750"/>
      <c r="P69" s="2775"/>
      <c r="Q69" s="2736"/>
      <c r="R69" s="2722"/>
      <c r="S69" s="2722"/>
      <c r="T69" s="2722"/>
      <c r="U69" s="2722"/>
      <c r="V69" s="2722"/>
      <c r="W69" s="2722"/>
      <c r="X69" s="2722"/>
      <c r="Y69" s="2722"/>
      <c r="Z69" s="2722"/>
      <c r="AA69" s="2722"/>
      <c r="AB69" s="2722"/>
      <c r="AC69" s="2722"/>
      <c r="AD69" s="2722"/>
    </row>
    <row r="70" spans="1:30" ht="14.4" thickBot="1">
      <c r="A70" s="481"/>
      <c r="B70" s="490"/>
      <c r="C70" s="491">
        <v>100</v>
      </c>
      <c r="D70" s="491">
        <f>C70-$K22</f>
        <v>100</v>
      </c>
      <c r="E70" s="491"/>
      <c r="F70" s="491"/>
      <c r="G70" s="491"/>
      <c r="H70" s="491"/>
      <c r="I70" s="491"/>
      <c r="J70" s="491"/>
      <c r="K70" s="491"/>
      <c r="L70" s="491"/>
      <c r="M70" s="492"/>
      <c r="N70" s="2751"/>
      <c r="O70" s="2751"/>
      <c r="P70" s="2775"/>
      <c r="Q70" s="2736"/>
      <c r="R70" s="2722"/>
      <c r="S70" s="2722"/>
      <c r="T70" s="2722"/>
      <c r="U70" s="2722"/>
      <c r="V70" s="2722"/>
      <c r="W70" s="2722"/>
      <c r="X70" s="2722"/>
      <c r="Y70" s="2722"/>
      <c r="Z70" s="2722"/>
      <c r="AA70" s="2722"/>
      <c r="AB70" s="2722"/>
      <c r="AC70" s="2722"/>
      <c r="AD70" s="2722"/>
    </row>
    <row r="71" spans="1:30" s="107" customFormat="1" ht="14.4" thickTop="1">
      <c r="A71" s="526"/>
      <c r="B71" s="485">
        <f>B23</f>
        <v>111</v>
      </c>
      <c r="C71" s="496"/>
      <c r="D71" s="496"/>
      <c r="E71" s="496"/>
      <c r="F71" s="496"/>
      <c r="G71" s="501"/>
      <c r="H71" s="501"/>
      <c r="I71" s="501"/>
      <c r="J71" s="501"/>
      <c r="K71" s="501"/>
      <c r="L71" s="527"/>
      <c r="M71" s="528"/>
      <c r="N71" s="2749"/>
      <c r="O71" s="2749"/>
      <c r="P71" s="2775"/>
      <c r="Q71" s="2736"/>
      <c r="R71" s="2658"/>
      <c r="S71" s="2658"/>
      <c r="T71" s="2658"/>
      <c r="U71" s="2658"/>
      <c r="V71" s="2658"/>
      <c r="W71" s="2658"/>
      <c r="X71" s="2658"/>
      <c r="Y71" s="2658"/>
      <c r="Z71" s="2658"/>
      <c r="AA71" s="2658"/>
      <c r="AB71" s="2658"/>
      <c r="AC71" s="2658"/>
      <c r="AD71" s="2658"/>
    </row>
    <row r="72" spans="1:30" s="107" customFormat="1" ht="14.4" thickBot="1">
      <c r="A72" s="526"/>
      <c r="B72" s="490"/>
      <c r="C72" s="507"/>
      <c r="D72" s="483"/>
      <c r="E72" s="483"/>
      <c r="F72" s="483"/>
      <c r="G72" s="483"/>
      <c r="H72" s="483"/>
      <c r="I72" s="483"/>
      <c r="J72" s="483"/>
      <c r="K72" s="483"/>
      <c r="L72" s="483"/>
      <c r="M72" s="484"/>
      <c r="N72" s="2751"/>
      <c r="O72" s="2751"/>
      <c r="P72" s="2775"/>
      <c r="Q72" s="2736"/>
      <c r="R72" s="2658"/>
      <c r="S72" s="2658"/>
      <c r="T72" s="2658"/>
      <c r="U72" s="2658"/>
      <c r="V72" s="2658"/>
      <c r="W72" s="2658"/>
      <c r="X72" s="2658"/>
      <c r="Y72" s="2658"/>
      <c r="Z72" s="2658"/>
      <c r="AA72" s="2658"/>
      <c r="AB72" s="2658"/>
      <c r="AC72" s="2658"/>
      <c r="AD72" s="2658"/>
    </row>
    <row r="73" spans="1:30" s="107" customFormat="1" ht="14.4" thickTop="1">
      <c r="A73" s="526"/>
      <c r="B73" s="485">
        <f>B24</f>
        <v>111</v>
      </c>
      <c r="C73" s="496"/>
      <c r="D73" s="496"/>
      <c r="E73" s="496"/>
      <c r="F73" s="496"/>
      <c r="G73" s="501"/>
      <c r="H73" s="501"/>
      <c r="I73" s="501"/>
      <c r="J73" s="501"/>
      <c r="K73" s="501"/>
      <c r="L73" s="501"/>
      <c r="M73" s="528"/>
      <c r="N73" s="2749"/>
      <c r="O73" s="2749"/>
      <c r="P73" s="2775"/>
      <c r="Q73" s="2736"/>
      <c r="R73" s="2658"/>
      <c r="S73" s="2658"/>
      <c r="T73" s="2658"/>
      <c r="U73" s="2658"/>
      <c r="V73" s="2658"/>
      <c r="W73" s="2658"/>
      <c r="X73" s="2658"/>
      <c r="Y73" s="2658"/>
      <c r="Z73" s="2658"/>
      <c r="AA73" s="2658"/>
      <c r="AB73" s="2658"/>
      <c r="AC73" s="2658"/>
      <c r="AD73" s="2658"/>
    </row>
    <row r="74" spans="1:30" s="107" customFormat="1" ht="14.4" thickBot="1">
      <c r="A74" s="526"/>
      <c r="B74" s="490"/>
      <c r="C74" s="507"/>
      <c r="D74" s="483"/>
      <c r="E74" s="483"/>
      <c r="F74" s="483"/>
      <c r="G74" s="483"/>
      <c r="H74" s="483"/>
      <c r="I74" s="483"/>
      <c r="J74" s="483"/>
      <c r="K74" s="483"/>
      <c r="L74" s="483"/>
      <c r="M74" s="484"/>
      <c r="N74" s="2751"/>
      <c r="O74" s="2751"/>
      <c r="P74" s="2775"/>
      <c r="Q74" s="2736"/>
      <c r="R74" s="2658"/>
      <c r="S74" s="2658"/>
      <c r="T74" s="2658"/>
      <c r="U74" s="2658"/>
      <c r="V74" s="2658"/>
      <c r="W74" s="2658"/>
      <c r="X74" s="2658"/>
      <c r="Y74" s="2658"/>
      <c r="Z74" s="2658"/>
      <c r="AA74" s="2658"/>
      <c r="AB74" s="2658"/>
      <c r="AC74" s="2658"/>
      <c r="AD74" s="2658"/>
    </row>
    <row r="75" spans="1:30" s="420" customFormat="1" ht="14.4" thickTop="1">
      <c r="A75" s="500"/>
      <c r="B75" s="485">
        <f>B25</f>
        <v>111</v>
      </c>
      <c r="C75" s="496"/>
      <c r="D75" s="496"/>
      <c r="E75" s="496"/>
      <c r="F75" s="496"/>
      <c r="G75" s="501"/>
      <c r="H75" s="502"/>
      <c r="I75" s="502"/>
      <c r="J75" s="502"/>
      <c r="K75" s="502"/>
      <c r="L75" s="503"/>
      <c r="M75" s="504"/>
      <c r="N75" s="2752"/>
      <c r="O75" s="2752"/>
      <c r="P75" s="2776"/>
      <c r="Q75" s="2743"/>
      <c r="R75" s="2744"/>
      <c r="S75" s="2744"/>
      <c r="T75" s="2744"/>
      <c r="U75" s="2744"/>
      <c r="V75" s="2744"/>
      <c r="W75" s="2744"/>
      <c r="X75" s="2744"/>
      <c r="Y75" s="2744"/>
      <c r="Z75" s="2744"/>
      <c r="AA75" s="2744"/>
      <c r="AB75" s="2744"/>
      <c r="AC75" s="2744"/>
      <c r="AD75" s="2744"/>
    </row>
    <row r="76" spans="1:30" s="420" customFormat="1" ht="14.4" thickBot="1">
      <c r="A76" s="500"/>
      <c r="B76" s="490"/>
      <c r="C76" s="507"/>
      <c r="D76" s="507"/>
      <c r="E76" s="507"/>
      <c r="F76" s="507"/>
      <c r="G76" s="483"/>
      <c r="H76" s="483"/>
      <c r="I76" s="483"/>
      <c r="J76" s="483"/>
      <c r="K76" s="483"/>
      <c r="L76" s="483"/>
      <c r="M76" s="484"/>
      <c r="N76" s="2752"/>
      <c r="O76" s="2752"/>
      <c r="P76" s="2776"/>
      <c r="Q76" s="2743"/>
      <c r="R76" s="2744"/>
      <c r="S76" s="2744"/>
      <c r="T76" s="2744"/>
      <c r="U76" s="2744"/>
      <c r="V76" s="2744"/>
      <c r="W76" s="2744"/>
      <c r="X76" s="2744"/>
      <c r="Y76" s="2744"/>
      <c r="Z76" s="2744"/>
      <c r="AA76" s="2744"/>
      <c r="AB76" s="2744"/>
      <c r="AC76" s="2744"/>
      <c r="AD76" s="2744"/>
    </row>
    <row r="77" spans="1:30" ht="15" thickTop="1">
      <c r="A77" s="474" t="s">
        <v>1694</v>
      </c>
      <c r="B77" s="475" t="s">
        <v>1740</v>
      </c>
      <c r="C77" s="501"/>
      <c r="D77" s="501"/>
      <c r="E77" s="477"/>
      <c r="F77" s="477"/>
      <c r="G77" s="477"/>
      <c r="H77" s="477"/>
      <c r="I77" s="477"/>
      <c r="J77" s="477"/>
      <c r="K77" s="478"/>
      <c r="L77" s="479"/>
      <c r="M77" s="480"/>
      <c r="N77" s="2750"/>
      <c r="O77" s="2750"/>
      <c r="P77" s="2775"/>
      <c r="Q77" s="2736"/>
      <c r="R77" s="2722"/>
      <c r="S77" s="2722"/>
      <c r="T77" s="2722"/>
      <c r="U77" s="2722"/>
      <c r="V77" s="2722"/>
      <c r="W77" s="2722"/>
      <c r="X77" s="2722"/>
      <c r="Y77" s="2722"/>
      <c r="Z77" s="2722"/>
      <c r="AA77" s="2722"/>
      <c r="AB77" s="2722"/>
      <c r="AC77" s="2722"/>
      <c r="AD77" s="2722"/>
    </row>
    <row r="78" spans="1:30" ht="14.4"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51"/>
      <c r="O78" s="2751"/>
      <c r="P78" s="2775"/>
      <c r="Q78" s="2736"/>
      <c r="R78" s="2722"/>
      <c r="S78" s="2722"/>
      <c r="T78" s="2722"/>
      <c r="U78" s="2722"/>
      <c r="V78" s="2722"/>
      <c r="W78" s="2722"/>
      <c r="X78" s="2722"/>
      <c r="Y78" s="2722"/>
      <c r="Z78" s="2722"/>
      <c r="AA78" s="2722"/>
      <c r="AB78" s="2722"/>
      <c r="AC78" s="2722"/>
      <c r="AD78" s="2722"/>
    </row>
    <row r="79" spans="1:30" ht="1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9"/>
      <c r="O79" s="2749"/>
      <c r="P79" s="2775"/>
      <c r="Q79" s="2736"/>
      <c r="R79" s="2722"/>
      <c r="S79" s="2722"/>
      <c r="T79" s="2722"/>
      <c r="U79" s="2722"/>
      <c r="V79" s="2722"/>
      <c r="W79" s="2722"/>
      <c r="X79" s="2722"/>
      <c r="Y79" s="2722"/>
      <c r="Z79" s="2722"/>
      <c r="AA79" s="2722"/>
      <c r="AB79" s="2722"/>
      <c r="AC79" s="2722"/>
      <c r="AD79" s="2722"/>
    </row>
    <row r="80" spans="1:30">
      <c r="A80" s="481"/>
      <c r="B80" s="493"/>
      <c r="C80" s="550">
        <v>0.5</v>
      </c>
      <c r="D80" s="550">
        <v>0.6</v>
      </c>
      <c r="E80" s="550">
        <v>0.7</v>
      </c>
      <c r="F80" s="550">
        <v>0.8</v>
      </c>
      <c r="G80" s="550">
        <v>0.9</v>
      </c>
      <c r="H80" s="550">
        <v>1.0001</v>
      </c>
      <c r="I80" s="606"/>
      <c r="J80" s="606"/>
      <c r="K80" s="614"/>
      <c r="L80" s="615"/>
      <c r="M80" s="616"/>
      <c r="N80" s="2749"/>
      <c r="O80" s="2749"/>
      <c r="P80" s="2775"/>
      <c r="Q80" s="2736"/>
      <c r="R80" s="2722"/>
      <c r="S80" s="2722"/>
      <c r="T80" s="2722"/>
      <c r="U80" s="2722"/>
      <c r="V80" s="2722"/>
      <c r="W80" s="2722"/>
      <c r="X80" s="2722"/>
      <c r="Y80" s="2722"/>
      <c r="Z80" s="2722"/>
      <c r="AA80" s="2722"/>
      <c r="AB80" s="2722"/>
      <c r="AC80" s="2722"/>
      <c r="AD80" s="2722"/>
    </row>
    <row r="81" spans="1:30" s="420" customFormat="1" ht="14.4"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6"/>
      <c r="B82" s="493" t="s">
        <v>1856</v>
      </c>
      <c r="C82" s="501"/>
      <c r="D82" s="501"/>
      <c r="E82" s="530"/>
      <c r="F82" s="530"/>
      <c r="G82" s="530"/>
      <c r="H82" s="530"/>
      <c r="I82" s="530"/>
      <c r="J82" s="530"/>
      <c r="K82" s="531"/>
      <c r="L82" s="532"/>
      <c r="M82" s="533"/>
      <c r="N82" s="2750"/>
      <c r="O82" s="2750"/>
      <c r="P82" s="2775"/>
      <c r="Q82" s="2736"/>
      <c r="R82" s="2722"/>
      <c r="S82" s="2722"/>
      <c r="T82" s="2722"/>
      <c r="U82" s="2722"/>
      <c r="V82" s="2722"/>
      <c r="W82" s="2722"/>
      <c r="X82" s="2722"/>
      <c r="Y82" s="2722"/>
      <c r="Z82" s="2722"/>
      <c r="AA82" s="2722"/>
      <c r="AB82" s="2722"/>
      <c r="AC82" s="2722"/>
      <c r="AD82" s="2722"/>
    </row>
    <row r="83" spans="1:30" ht="14.4"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6"/>
      <c r="B84" s="485" t="s">
        <v>1864</v>
      </c>
      <c r="C84" s="501"/>
      <c r="D84" s="501"/>
      <c r="E84" s="501"/>
      <c r="F84" s="501"/>
      <c r="G84" s="501"/>
      <c r="H84" s="501"/>
      <c r="I84" s="530"/>
      <c r="J84" s="530"/>
      <c r="K84" s="531"/>
      <c r="L84" s="532"/>
      <c r="M84" s="533"/>
      <c r="N84" s="2750"/>
      <c r="O84" s="2750"/>
      <c r="P84" s="2775"/>
      <c r="Q84" s="2736"/>
      <c r="R84" s="2722"/>
      <c r="S84" s="2722"/>
      <c r="T84" s="2722"/>
      <c r="U84" s="2722"/>
      <c r="V84" s="2722"/>
      <c r="W84" s="2722"/>
      <c r="X84" s="2722"/>
      <c r="Y84" s="2722"/>
      <c r="Z84" s="2722"/>
      <c r="AA84" s="2722"/>
      <c r="AB84" s="2722"/>
      <c r="AC84" s="2722"/>
      <c r="AD84" s="2722"/>
    </row>
    <row r="85" spans="1:30" ht="14.4"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6"/>
      <c r="B87" s="493"/>
      <c r="C87" s="542"/>
      <c r="D87" s="542"/>
      <c r="E87" s="542"/>
      <c r="F87" s="542"/>
      <c r="G87" s="542"/>
      <c r="H87" s="542"/>
      <c r="I87" s="542"/>
      <c r="J87" s="543"/>
      <c r="K87" s="543"/>
      <c r="L87" s="544"/>
      <c r="M87" s="545"/>
      <c r="N87" s="2750"/>
      <c r="O87" s="2750"/>
      <c r="P87" s="2775"/>
      <c r="Q87" s="2736"/>
      <c r="R87" s="2722"/>
      <c r="S87" s="2722"/>
      <c r="T87" s="2722"/>
      <c r="U87" s="2722"/>
      <c r="V87" s="2722"/>
      <c r="W87" s="2722"/>
      <c r="X87" s="2722"/>
      <c r="Y87" s="2722"/>
      <c r="Z87" s="2722"/>
      <c r="AA87" s="2722"/>
      <c r="AB87" s="2722"/>
      <c r="AC87" s="2722"/>
      <c r="AD87" s="2722"/>
    </row>
    <row r="88" spans="1:30" ht="14.4" thickBot="1">
      <c r="A88" s="481"/>
      <c r="B88" s="490"/>
      <c r="C88" s="507"/>
      <c r="D88" s="483"/>
      <c r="E88" s="483"/>
      <c r="F88" s="483"/>
      <c r="G88" s="483"/>
      <c r="H88" s="483"/>
      <c r="I88" s="483"/>
      <c r="J88" s="483"/>
      <c r="K88" s="483"/>
      <c r="L88" s="483"/>
      <c r="M88" s="483"/>
      <c r="N88" s="2751"/>
      <c r="O88" s="2751"/>
      <c r="P88" s="2775"/>
      <c r="Q88" s="2736"/>
      <c r="R88" s="2722"/>
      <c r="S88" s="2722"/>
      <c r="T88" s="2722"/>
      <c r="U88" s="2722"/>
      <c r="V88" s="2722"/>
      <c r="W88" s="2722"/>
      <c r="X88" s="2722"/>
      <c r="Y88" s="2722"/>
      <c r="Z88" s="2722"/>
      <c r="AA88" s="2722"/>
      <c r="AB88" s="2722"/>
      <c r="AC88" s="2722"/>
      <c r="AD88" s="2722"/>
    </row>
    <row r="89" spans="1:30" s="420" customFormat="1" ht="15" thickTop="1">
      <c r="A89" s="540"/>
      <c r="B89" s="485" t="s">
        <v>1866</v>
      </c>
      <c r="C89" s="501"/>
      <c r="D89" s="501"/>
      <c r="E89" s="501"/>
      <c r="F89" s="501"/>
      <c r="G89" s="501"/>
      <c r="H89" s="501"/>
      <c r="I89" s="501"/>
      <c r="J89" s="501"/>
      <c r="K89" s="501"/>
      <c r="L89" s="501"/>
      <c r="M89" s="528"/>
      <c r="N89" s="2752"/>
      <c r="O89" s="2752"/>
      <c r="P89" s="2776"/>
      <c r="Q89" s="2743"/>
      <c r="R89" s="2744"/>
      <c r="S89" s="2744"/>
      <c r="T89" s="2744"/>
      <c r="U89" s="2744"/>
      <c r="V89" s="2744"/>
      <c r="W89" s="2744"/>
      <c r="X89" s="2744"/>
      <c r="Y89" s="2744"/>
      <c r="Z89" s="2744"/>
      <c r="AA89" s="2744"/>
      <c r="AB89" s="2744"/>
      <c r="AC89" s="2744"/>
      <c r="AD89" s="2744"/>
    </row>
    <row r="90" spans="1:30" s="420" customFormat="1" ht="14.4" thickBot="1">
      <c r="A90" s="500"/>
      <c r="B90" s="490"/>
      <c r="C90" s="507"/>
      <c r="D90" s="483"/>
      <c r="E90" s="483"/>
      <c r="F90" s="483"/>
      <c r="G90" s="483"/>
      <c r="H90" s="483"/>
      <c r="I90" s="483"/>
      <c r="J90" s="483"/>
      <c r="K90" s="483"/>
      <c r="L90" s="483"/>
      <c r="M90" s="484"/>
      <c r="N90" s="2752"/>
      <c r="O90" s="2752"/>
      <c r="P90" s="2776"/>
      <c r="Q90" s="2743"/>
      <c r="R90" s="2744"/>
      <c r="S90" s="2744"/>
      <c r="T90" s="2744"/>
      <c r="U90" s="2744"/>
      <c r="V90" s="2744"/>
      <c r="W90" s="2744"/>
      <c r="X90" s="2744"/>
      <c r="Y90" s="2744"/>
      <c r="Z90" s="2744"/>
      <c r="AA90" s="2744"/>
      <c r="AB90" s="2744"/>
      <c r="AC90" s="2744"/>
      <c r="AD90" s="2744"/>
    </row>
    <row r="91" spans="1:30" ht="14.4" thickTop="1">
      <c r="A91" s="546"/>
      <c r="B91" s="485">
        <f>B32</f>
        <v>111</v>
      </c>
      <c r="C91" s="496"/>
      <c r="D91" s="496"/>
      <c r="E91" s="496"/>
      <c r="F91" s="496"/>
      <c r="G91" s="501"/>
      <c r="H91" s="502"/>
      <c r="I91" s="502"/>
      <c r="J91" s="502"/>
      <c r="K91" s="502"/>
      <c r="L91" s="503"/>
      <c r="M91" s="504"/>
      <c r="N91" s="2750"/>
      <c r="O91" s="2750"/>
      <c r="P91" s="2775"/>
      <c r="Q91" s="2736"/>
      <c r="R91" s="2722"/>
      <c r="S91" s="2722"/>
      <c r="T91" s="2722"/>
      <c r="U91" s="2722"/>
      <c r="V91" s="2722"/>
      <c r="W91" s="2722"/>
      <c r="X91" s="2722"/>
      <c r="Y91" s="2722"/>
      <c r="Z91" s="2722"/>
      <c r="AA91" s="2722"/>
      <c r="AB91" s="2722"/>
      <c r="AC91" s="2722"/>
      <c r="AD91" s="2722"/>
    </row>
    <row r="92" spans="1:30" ht="14.4" thickBot="1">
      <c r="A92" s="481"/>
      <c r="B92" s="490"/>
      <c r="C92" s="507"/>
      <c r="D92" s="483"/>
      <c r="E92" s="483"/>
      <c r="F92" s="483"/>
      <c r="G92" s="507"/>
      <c r="H92" s="509"/>
      <c r="I92" s="509"/>
      <c r="J92" s="509"/>
      <c r="K92" s="509"/>
      <c r="L92" s="509"/>
      <c r="M92" s="510"/>
      <c r="N92" s="2751"/>
      <c r="O92" s="2751"/>
      <c r="P92" s="2775"/>
      <c r="Q92" s="2736"/>
      <c r="R92" s="2722"/>
      <c r="S92" s="2722"/>
      <c r="T92" s="2722"/>
      <c r="U92" s="2722"/>
      <c r="V92" s="2722"/>
      <c r="W92" s="2722"/>
      <c r="X92" s="2722"/>
      <c r="Y92" s="2722"/>
      <c r="Z92" s="2722"/>
      <c r="AA92" s="2722"/>
      <c r="AB92" s="2722"/>
      <c r="AC92" s="2722"/>
      <c r="AD92" s="2722"/>
    </row>
    <row r="93" spans="1:30" ht="14.4" thickTop="1">
      <c r="A93" s="546"/>
      <c r="B93" s="485">
        <f>B33</f>
        <v>111</v>
      </c>
      <c r="C93" s="496"/>
      <c r="D93" s="496"/>
      <c r="E93" s="496"/>
      <c r="F93" s="496"/>
      <c r="G93" s="501"/>
      <c r="H93" s="502"/>
      <c r="I93" s="502"/>
      <c r="J93" s="502"/>
      <c r="K93" s="502"/>
      <c r="L93" s="503"/>
      <c r="M93" s="504"/>
      <c r="N93" s="2750"/>
      <c r="O93" s="2750"/>
      <c r="P93" s="2775"/>
      <c r="Q93" s="2736"/>
      <c r="R93" s="2722"/>
      <c r="S93" s="2722"/>
      <c r="T93" s="2722"/>
      <c r="U93" s="2722"/>
      <c r="V93" s="2722"/>
      <c r="W93" s="2722"/>
      <c r="X93" s="2722"/>
      <c r="Y93" s="2722"/>
      <c r="Z93" s="2722"/>
      <c r="AA93" s="2722"/>
      <c r="AB93" s="2722"/>
      <c r="AC93" s="2722"/>
      <c r="AD93" s="2722"/>
    </row>
    <row r="94" spans="1:30" ht="14.4" thickBot="1">
      <c r="A94" s="481"/>
      <c r="B94" s="490"/>
      <c r="C94" s="507"/>
      <c r="D94" s="483"/>
      <c r="E94" s="483"/>
      <c r="F94" s="483"/>
      <c r="G94" s="507"/>
      <c r="H94" s="509"/>
      <c r="I94" s="509"/>
      <c r="J94" s="509"/>
      <c r="K94" s="509"/>
      <c r="L94" s="509"/>
      <c r="M94" s="510"/>
      <c r="N94" s="2751"/>
      <c r="O94" s="2751"/>
      <c r="P94" s="2775"/>
      <c r="Q94" s="2736"/>
      <c r="R94" s="2722"/>
      <c r="S94" s="2722"/>
      <c r="T94" s="2722"/>
      <c r="U94" s="2722"/>
      <c r="V94" s="2722"/>
      <c r="W94" s="2722"/>
      <c r="X94" s="2722"/>
      <c r="Y94" s="2722"/>
      <c r="Z94" s="2722"/>
      <c r="AA94" s="2722"/>
      <c r="AB94" s="2722"/>
      <c r="AC94" s="2722"/>
      <c r="AD94" s="2722"/>
    </row>
    <row r="95" spans="1:30" ht="14.4" thickTop="1">
      <c r="A95" s="546"/>
      <c r="B95" s="582">
        <f>B34</f>
        <v>111</v>
      </c>
      <c r="C95" s="496"/>
      <c r="D95" s="496"/>
      <c r="E95" s="496"/>
      <c r="F95" s="496"/>
      <c r="G95" s="501"/>
      <c r="H95" s="502"/>
      <c r="I95" s="502"/>
      <c r="J95" s="502"/>
      <c r="K95" s="502"/>
      <c r="L95" s="503"/>
      <c r="M95" s="504"/>
      <c r="N95" s="2751"/>
      <c r="O95" s="2751"/>
      <c r="P95" s="2778"/>
      <c r="Q95" s="2765"/>
      <c r="R95" s="2722"/>
      <c r="S95" s="2722"/>
      <c r="T95" s="2722"/>
      <c r="U95" s="2722"/>
      <c r="V95" s="2722"/>
      <c r="W95" s="2722"/>
      <c r="X95" s="2722"/>
      <c r="Y95" s="2722"/>
      <c r="Z95" s="2722"/>
      <c r="AA95" s="2722"/>
      <c r="AB95" s="2722"/>
      <c r="AC95" s="2722"/>
      <c r="AD95" s="2722"/>
    </row>
    <row r="96" spans="1:30" ht="14.4" thickBot="1">
      <c r="A96" s="481"/>
      <c r="B96" s="490"/>
      <c r="C96" s="507"/>
      <c r="D96" s="507"/>
      <c r="E96" s="507"/>
      <c r="F96" s="507"/>
      <c r="G96" s="507"/>
      <c r="H96" s="509"/>
      <c r="I96" s="509"/>
      <c r="J96" s="509"/>
      <c r="K96" s="509"/>
      <c r="L96" s="509"/>
      <c r="M96" s="510"/>
      <c r="N96" s="2751"/>
      <c r="O96" s="2751"/>
      <c r="P96" s="2775"/>
      <c r="Q96" s="2736"/>
      <c r="R96" s="2722"/>
      <c r="S96" s="2722"/>
      <c r="T96" s="2722"/>
      <c r="U96" s="2722"/>
      <c r="V96" s="2722"/>
      <c r="W96" s="2722"/>
      <c r="X96" s="2722"/>
      <c r="Y96" s="2722"/>
      <c r="Z96" s="2722"/>
      <c r="AA96" s="2722"/>
      <c r="AB96" s="2722"/>
      <c r="AC96" s="2722"/>
      <c r="AD96" s="2722"/>
    </row>
    <row r="97" spans="1:30" ht="14.4" thickTop="1">
      <c r="N97" s="2722"/>
      <c r="O97" s="2722"/>
      <c r="P97" s="2722"/>
      <c r="Q97" s="2722"/>
      <c r="R97" s="2722"/>
      <c r="S97" s="2722"/>
      <c r="T97" s="2722"/>
      <c r="U97" s="2722"/>
      <c r="V97" s="2722"/>
      <c r="W97" s="2722"/>
      <c r="X97" s="2722"/>
      <c r="Y97" s="2722"/>
      <c r="Z97" s="2722"/>
      <c r="AA97" s="2722"/>
      <c r="AB97" s="2722"/>
      <c r="AC97" s="2722"/>
      <c r="AD97" s="2722"/>
    </row>
    <row r="98" spans="1:30">
      <c r="A98" s="933"/>
      <c r="B98" s="933"/>
      <c r="C98" s="933"/>
      <c r="D98" s="933"/>
      <c r="E98" s="933"/>
      <c r="F98" s="933"/>
      <c r="G98" s="933"/>
      <c r="H98" s="933"/>
      <c r="I98" s="933"/>
      <c r="J98" s="933"/>
      <c r="K98" s="934"/>
      <c r="L98" s="935"/>
      <c r="M98" s="933"/>
      <c r="N98" s="2722"/>
      <c r="O98" s="2722"/>
      <c r="P98" s="2722"/>
      <c r="Q98" s="2722"/>
      <c r="R98" s="2722"/>
      <c r="S98" s="2722"/>
      <c r="T98" s="2722"/>
      <c r="U98" s="2722"/>
      <c r="V98" s="2722"/>
      <c r="W98" s="2722"/>
      <c r="X98" s="2722"/>
      <c r="Y98" s="2722"/>
      <c r="Z98" s="2722"/>
      <c r="AA98" s="2722"/>
      <c r="AB98" s="2722"/>
      <c r="AC98" s="2722"/>
      <c r="AD98" s="2722"/>
    </row>
    <row r="99" spans="1:30">
      <c r="A99" s="933"/>
      <c r="B99" s="933"/>
      <c r="C99" s="933"/>
      <c r="D99" s="933"/>
      <c r="E99" s="933"/>
      <c r="F99" s="933"/>
      <c r="G99" s="933"/>
      <c r="H99" s="933"/>
      <c r="I99" s="933"/>
      <c r="J99" s="933"/>
      <c r="K99" s="934"/>
      <c r="L99" s="935"/>
      <c r="M99" s="933"/>
      <c r="N99" s="2722"/>
      <c r="O99" s="2722"/>
      <c r="P99" s="2722"/>
      <c r="Q99" s="2722"/>
      <c r="R99" s="2722"/>
      <c r="S99" s="2722"/>
      <c r="T99" s="2722"/>
      <c r="U99" s="2722"/>
      <c r="V99" s="2722"/>
      <c r="W99" s="2722"/>
      <c r="X99" s="2722"/>
      <c r="Y99" s="2722"/>
      <c r="Z99" s="2722"/>
      <c r="AA99" s="2722"/>
      <c r="AB99" s="2722"/>
      <c r="AC99" s="2722"/>
      <c r="AD99" s="2722"/>
    </row>
    <row r="100" spans="1:30">
      <c r="A100" s="933"/>
      <c r="B100" s="933"/>
      <c r="C100" s="933"/>
      <c r="D100" s="933"/>
      <c r="E100" s="933"/>
      <c r="F100" s="933"/>
      <c r="G100" s="933"/>
      <c r="H100" s="933"/>
      <c r="I100" s="933"/>
      <c r="J100" s="933"/>
      <c r="K100" s="934"/>
      <c r="L100" s="935"/>
      <c r="M100" s="933"/>
      <c r="N100" s="2722"/>
      <c r="O100" s="2722"/>
      <c r="P100" s="2722"/>
      <c r="Q100" s="2722"/>
      <c r="R100" s="2722"/>
      <c r="S100" s="2722"/>
      <c r="T100" s="2722"/>
      <c r="U100" s="2722"/>
      <c r="V100" s="2722"/>
      <c r="W100" s="2722"/>
      <c r="X100" s="2722"/>
      <c r="Y100" s="2722"/>
      <c r="Z100" s="2722"/>
      <c r="AA100" s="2722"/>
      <c r="AB100" s="2722"/>
      <c r="AC100" s="2722"/>
      <c r="AD100" s="2722"/>
    </row>
    <row r="101" spans="1:30">
      <c r="A101" s="933"/>
      <c r="B101" s="933"/>
      <c r="C101" s="933"/>
      <c r="D101" s="933"/>
      <c r="E101" s="933"/>
      <c r="F101" s="933"/>
      <c r="G101" s="933"/>
      <c r="H101" s="933"/>
      <c r="I101" s="933"/>
      <c r="J101" s="933"/>
      <c r="K101" s="934"/>
      <c r="L101" s="935"/>
      <c r="M101" s="933"/>
      <c r="N101" s="2722"/>
      <c r="O101" s="2722"/>
      <c r="P101" s="2722"/>
      <c r="Q101" s="2722"/>
      <c r="R101" s="2722"/>
      <c r="S101" s="2722"/>
      <c r="T101" s="2722"/>
      <c r="U101" s="2722"/>
      <c r="V101" s="2722"/>
      <c r="W101" s="2722"/>
      <c r="X101" s="2722"/>
      <c r="Y101" s="2722"/>
      <c r="Z101" s="2722"/>
      <c r="AA101" s="2722"/>
      <c r="AB101" s="2722"/>
      <c r="AC101" s="2722"/>
      <c r="AD101" s="2722"/>
    </row>
    <row r="102" spans="1:30">
      <c r="A102" s="933"/>
      <c r="B102" s="933"/>
      <c r="C102" s="933"/>
      <c r="D102" s="933"/>
      <c r="E102" s="933"/>
      <c r="F102" s="933"/>
      <c r="G102" s="933"/>
      <c r="H102" s="933"/>
      <c r="I102" s="933"/>
      <c r="J102" s="933"/>
      <c r="K102" s="934"/>
      <c r="L102" s="935"/>
      <c r="M102" s="933"/>
      <c r="N102" s="2722"/>
      <c r="O102" s="2722"/>
      <c r="P102" s="2722"/>
      <c r="Q102" s="2722"/>
      <c r="R102" s="2722"/>
      <c r="S102" s="2722"/>
      <c r="T102" s="2722"/>
      <c r="U102" s="2722"/>
      <c r="V102" s="2722"/>
      <c r="W102" s="2722"/>
      <c r="X102" s="2722"/>
      <c r="Y102" s="2722"/>
      <c r="Z102" s="2722"/>
      <c r="AA102" s="2722"/>
      <c r="AB102" s="2722"/>
      <c r="AC102" s="2722"/>
      <c r="AD102" s="2722"/>
    </row>
    <row r="103" spans="1:30">
      <c r="A103" s="933"/>
      <c r="B103" s="933"/>
      <c r="C103" s="933"/>
      <c r="D103" s="933"/>
      <c r="E103" s="933"/>
      <c r="F103" s="933"/>
      <c r="G103" s="933"/>
      <c r="H103" s="933"/>
      <c r="I103" s="933"/>
      <c r="J103" s="933"/>
      <c r="K103" s="934"/>
      <c r="L103" s="935"/>
      <c r="M103" s="933"/>
      <c r="N103" s="933"/>
      <c r="O103" s="933"/>
      <c r="P103" s="2722"/>
      <c r="Q103" s="2722"/>
      <c r="R103" s="2722"/>
      <c r="S103" s="2722"/>
      <c r="T103" s="2722"/>
      <c r="U103" s="2722"/>
      <c r="V103" s="2722"/>
      <c r="W103" s="2722"/>
      <c r="X103" s="2722"/>
      <c r="Y103" s="2722"/>
      <c r="Z103" s="2722"/>
      <c r="AA103" s="2722"/>
      <c r="AB103" s="2722"/>
      <c r="AC103" s="2722"/>
      <c r="AD103" s="2722"/>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5" customWidth="1"/>
    <col min="2" max="2" width="15.77734375" style="355" customWidth="1"/>
    <col min="3" max="3" width="14.33203125" style="355" customWidth="1"/>
    <col min="4" max="4" width="14.109375" style="355" customWidth="1"/>
    <col min="5" max="5" width="14.33203125" style="355" customWidth="1"/>
    <col min="6" max="6" width="12.21875" style="355" customWidth="1"/>
    <col min="7" max="7" width="14.44140625" style="355" customWidth="1"/>
    <col min="8" max="8" width="12.21875" style="355" customWidth="1"/>
    <col min="9" max="9" width="14.44140625" style="355" customWidth="1"/>
    <col min="10" max="10" width="12.21875" style="355" customWidth="1"/>
    <col min="11" max="11" width="12.21875" style="442" customWidth="1"/>
    <col min="12" max="12" width="12.21875" style="443" customWidth="1"/>
    <col min="13" max="15" width="12.21875" style="355" customWidth="1"/>
    <col min="16" max="16" width="4.77734375" style="355" customWidth="1"/>
    <col min="17" max="17" width="19.44140625" style="355" customWidth="1"/>
    <col min="18" max="22" width="6.109375" style="355" customWidth="1"/>
    <col min="23" max="23" width="5.77734375" style="355" customWidth="1"/>
    <col min="24" max="24" width="4.21875" style="355" customWidth="1"/>
    <col min="25" max="25" width="3.44140625" style="355" customWidth="1"/>
    <col min="26" max="26" width="19.77734375" style="355" customWidth="1"/>
    <col min="27" max="28" width="9.33203125" style="355" customWidth="1"/>
    <col min="29" max="16384" width="9" style="355"/>
  </cols>
  <sheetData>
    <row r="1" spans="1:30" s="350" customFormat="1" ht="28.5" customHeight="1">
      <c r="A1" s="346" t="s">
        <v>1867</v>
      </c>
      <c r="B1" s="347"/>
      <c r="C1" s="348"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49"/>
    </row>
    <row r="2" spans="1:30" s="350" customFormat="1" ht="28.5" customHeight="1">
      <c r="A2" s="199" t="s">
        <v>1462</v>
      </c>
      <c r="B2" s="617" t="e">
        <f>F65</f>
        <v>#DIV/0!</v>
      </c>
      <c r="C2" s="904"/>
      <c r="D2" s="904"/>
      <c r="E2" s="905"/>
      <c r="F2" s="906"/>
      <c r="G2" s="905"/>
      <c r="H2" s="905"/>
      <c r="I2" s="905"/>
      <c r="J2" s="905"/>
      <c r="K2" s="907"/>
      <c r="L2" s="2731"/>
      <c r="M2" s="2732"/>
      <c r="N2" s="2732"/>
      <c r="O2" s="2732"/>
      <c r="P2" s="697"/>
      <c r="Q2" s="697"/>
      <c r="R2" s="697"/>
      <c r="S2" s="697"/>
      <c r="T2" s="697"/>
      <c r="U2" s="697"/>
      <c r="V2" s="697"/>
      <c r="W2" s="697"/>
      <c r="X2" s="697"/>
      <c r="Y2" s="697"/>
      <c r="Z2" s="697"/>
      <c r="AA2" s="697"/>
      <c r="AB2" s="697"/>
      <c r="AC2" s="698"/>
      <c r="AD2" s="349"/>
    </row>
    <row r="3" spans="1:30" s="350" customFormat="1" ht="28.5" customHeight="1" thickBot="1">
      <c r="A3" s="201" t="s">
        <v>1464</v>
      </c>
      <c r="B3" s="556" t="e">
        <f>ROUND(IF(D3="",B2*10000/'数据-汇总表'!E3,B2*10000/D3),0)</f>
        <v>#DIV/0!</v>
      </c>
      <c r="C3" s="201" t="s">
        <v>1869</v>
      </c>
      <c r="D3" s="1190"/>
      <c r="E3" s="905"/>
      <c r="F3" s="906"/>
      <c r="G3" s="905"/>
      <c r="H3" s="905"/>
      <c r="I3" s="905"/>
      <c r="J3" s="905"/>
      <c r="K3" s="907"/>
      <c r="L3" s="2731"/>
      <c r="M3" s="2732"/>
      <c r="N3" s="2732"/>
      <c r="O3" s="2732"/>
      <c r="P3" s="697"/>
      <c r="Q3" s="697"/>
      <c r="R3" s="697"/>
      <c r="S3" s="697"/>
      <c r="T3" s="697"/>
      <c r="U3" s="697"/>
      <c r="V3" s="697"/>
      <c r="W3" s="697"/>
      <c r="X3" s="697"/>
      <c r="Y3" s="697"/>
      <c r="Z3" s="697"/>
      <c r="AA3" s="697"/>
      <c r="AB3" s="714"/>
      <c r="AC3" s="711"/>
    </row>
    <row r="4" spans="1:30" ht="14.4">
      <c r="A4" s="353" t="s">
        <v>1769</v>
      </c>
      <c r="B4" s="354"/>
      <c r="C4" s="3709" t="s">
        <v>1770</v>
      </c>
      <c r="D4" s="3710"/>
      <c r="E4" s="3711" t="s">
        <v>1771</v>
      </c>
      <c r="F4" s="3712"/>
      <c r="G4" s="3709" t="s">
        <v>1772</v>
      </c>
      <c r="H4" s="3710"/>
      <c r="I4" s="3709" t="s">
        <v>1773</v>
      </c>
      <c r="J4" s="3710"/>
      <c r="K4" s="557" t="s">
        <v>1774</v>
      </c>
      <c r="L4" s="2712"/>
      <c r="M4" s="2713"/>
      <c r="N4" s="2713"/>
      <c r="O4" s="2713"/>
      <c r="P4" s="3713" t="s">
        <v>1775</v>
      </c>
      <c r="Q4" s="3714"/>
      <c r="R4" s="3719" t="s">
        <v>1771</v>
      </c>
      <c r="S4" s="3720"/>
      <c r="T4" s="3719" t="s">
        <v>1772</v>
      </c>
      <c r="U4" s="3720"/>
      <c r="V4" s="3725" t="s">
        <v>1773</v>
      </c>
      <c r="W4" s="3725"/>
      <c r="X4" s="1352"/>
      <c r="Y4" s="3719" t="s">
        <v>1775</v>
      </c>
      <c r="Z4" s="3720"/>
      <c r="AA4" s="3706" t="s">
        <v>1771</v>
      </c>
      <c r="AB4" s="3707" t="s">
        <v>1772</v>
      </c>
      <c r="AC4" s="3706" t="s">
        <v>1773</v>
      </c>
    </row>
    <row r="5" spans="1:30">
      <c r="A5" s="356"/>
      <c r="B5" s="357"/>
      <c r="C5" s="3728" t="s">
        <v>1673</v>
      </c>
      <c r="D5" s="3729"/>
      <c r="E5" s="3735" t="s">
        <v>1674</v>
      </c>
      <c r="F5" s="3736"/>
      <c r="G5" s="3728" t="s">
        <v>1675</v>
      </c>
      <c r="H5" s="3729"/>
      <c r="I5" s="3728" t="s">
        <v>1676</v>
      </c>
      <c r="J5" s="3729"/>
      <c r="K5" s="557"/>
      <c r="L5" s="2712"/>
      <c r="M5" s="2713"/>
      <c r="N5" s="2713"/>
      <c r="O5" s="2713"/>
      <c r="P5" s="3715"/>
      <c r="Q5" s="3716"/>
      <c r="R5" s="3721"/>
      <c r="S5" s="3722"/>
      <c r="T5" s="3721"/>
      <c r="U5" s="3722"/>
      <c r="V5" s="3725"/>
      <c r="W5" s="3725"/>
      <c r="X5" s="1352"/>
      <c r="Y5" s="3721"/>
      <c r="Z5" s="3722"/>
      <c r="AA5" s="3707"/>
      <c r="AB5" s="3707"/>
      <c r="AC5" s="3707"/>
    </row>
    <row r="6" spans="1:30" ht="15" thickBot="1">
      <c r="A6" s="358"/>
      <c r="B6" s="359"/>
      <c r="C6" s="3726" t="s">
        <v>1677</v>
      </c>
      <c r="D6" s="3727"/>
      <c r="E6" s="3733" t="s">
        <v>1677</v>
      </c>
      <c r="F6" s="3734"/>
      <c r="G6" s="3726" t="s">
        <v>1677</v>
      </c>
      <c r="H6" s="3727"/>
      <c r="I6" s="3726" t="s">
        <v>1677</v>
      </c>
      <c r="J6" s="3727"/>
      <c r="K6" s="557" t="s">
        <v>1678</v>
      </c>
      <c r="L6" s="2712"/>
      <c r="M6" s="2713"/>
      <c r="N6" s="2713"/>
      <c r="O6" s="2713"/>
      <c r="P6" s="3717"/>
      <c r="Q6" s="3718"/>
      <c r="R6" s="3721"/>
      <c r="S6" s="3722"/>
      <c r="T6" s="3723"/>
      <c r="U6" s="3724"/>
      <c r="V6" s="3725"/>
      <c r="W6" s="3725"/>
      <c r="X6" s="1352"/>
      <c r="Y6" s="3723"/>
      <c r="Z6" s="3724"/>
      <c r="AA6" s="3708"/>
      <c r="AB6" s="3708"/>
      <c r="AC6" s="3708"/>
    </row>
    <row r="7" spans="1:30" s="107" customFormat="1" ht="15" thickBot="1">
      <c r="A7" s="360" t="s">
        <v>1679</v>
      </c>
      <c r="B7" s="361"/>
      <c r="C7" s="362">
        <f>'数据-取费表'!B2</f>
        <v>44917</v>
      </c>
      <c r="D7" s="363">
        <v>100</v>
      </c>
      <c r="E7" s="364"/>
      <c r="F7" s="365">
        <f>SUMIF(69:69,YEAR(E7)&amp;"-"&amp;INT((MONTH(E7)+2)/3),70:70)</f>
        <v>0</v>
      </c>
      <c r="G7" s="1971"/>
      <c r="H7" s="363">
        <f>SUMIF(69:69,YEAR(G7)&amp;"-"&amp;INT((MONTH(G7)+2)/3),70:70)</f>
        <v>0</v>
      </c>
      <c r="I7" s="1971"/>
      <c r="J7" s="363">
        <f>SUMIF(69:69,YEAR(I7)&amp;"-"&amp;INT((MONTH(I7)+2)/3),70:70)</f>
        <v>0</v>
      </c>
      <c r="K7" s="558"/>
      <c r="L7" s="2714"/>
      <c r="M7" s="2715"/>
      <c r="N7" s="2715"/>
      <c r="O7" s="2715"/>
      <c r="P7" s="3730" t="s">
        <v>1680</v>
      </c>
      <c r="Q7" s="3732"/>
      <c r="R7" s="699" t="s">
        <v>14</v>
      </c>
      <c r="S7" s="700">
        <f t="shared" ref="S7:S15" si="0">F7</f>
        <v>0</v>
      </c>
      <c r="T7" s="699" t="s">
        <v>14</v>
      </c>
      <c r="U7" s="700">
        <f t="shared" ref="U7:U15" si="1">H7</f>
        <v>0</v>
      </c>
      <c r="V7" s="699" t="s">
        <v>14</v>
      </c>
      <c r="W7" s="700">
        <f t="shared" ref="W7:W15" si="2">J7</f>
        <v>0</v>
      </c>
      <c r="X7" s="701"/>
      <c r="Y7" s="3730" t="s">
        <v>1680</v>
      </c>
      <c r="Z7" s="3731"/>
      <c r="AA7" s="702" t="e">
        <f>D7/F7</f>
        <v>#DIV/0!</v>
      </c>
      <c r="AB7" s="702" t="e">
        <f>D7/H7</f>
        <v>#DIV/0!</v>
      </c>
      <c r="AC7" s="702" t="e">
        <f>D7/J7</f>
        <v>#DIV/0!</v>
      </c>
    </row>
    <row r="8" spans="1:30" s="107" customFormat="1" ht="1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14"/>
      <c r="M8" s="2715"/>
      <c r="N8" s="2715"/>
      <c r="O8" s="2715"/>
      <c r="P8" s="3730" t="s">
        <v>1683</v>
      </c>
      <c r="Q8" s="3731"/>
      <c r="R8" s="699" t="s">
        <v>14</v>
      </c>
      <c r="S8" s="700">
        <f t="shared" si="0"/>
        <v>0</v>
      </c>
      <c r="T8" s="699" t="s">
        <v>14</v>
      </c>
      <c r="U8" s="700">
        <f t="shared" si="1"/>
        <v>0</v>
      </c>
      <c r="V8" s="699" t="s">
        <v>14</v>
      </c>
      <c r="W8" s="700">
        <f t="shared" si="2"/>
        <v>0</v>
      </c>
      <c r="X8" s="701"/>
      <c r="Y8" s="3730" t="s">
        <v>1683</v>
      </c>
      <c r="Z8" s="3731"/>
      <c r="AA8" s="702" t="e">
        <f t="shared" ref="AA8:AA45" si="3">D8/F8</f>
        <v>#DIV/0!</v>
      </c>
      <c r="AB8" s="702" t="e">
        <f t="shared" ref="AB8:AB45" si="4">D8/H8</f>
        <v>#DIV/0!</v>
      </c>
      <c r="AC8" s="702" t="e">
        <f t="shared" ref="AC8:AC45" si="5">D8/J8</f>
        <v>#DIV/0!</v>
      </c>
    </row>
    <row r="9" spans="1:30" s="107" customFormat="1" ht="14.4">
      <c r="A9" s="367" t="s">
        <v>1684</v>
      </c>
      <c r="B9" s="63" t="s">
        <v>1685</v>
      </c>
      <c r="C9" s="1974"/>
      <c r="D9" s="124">
        <v>100</v>
      </c>
      <c r="E9" s="1974"/>
      <c r="F9" s="124">
        <f>SUMIF(74:74,E9,75:75)-SUMIF(74:74,C9,75:75)+100</f>
        <v>100</v>
      </c>
      <c r="G9" s="1974"/>
      <c r="H9" s="124">
        <f>SUMIF(74:74,G9,75:75)-SUMIF(74:74,C9,75:75)+100</f>
        <v>100</v>
      </c>
      <c r="I9" s="1974"/>
      <c r="J9" s="124">
        <f>SUMIF(74:74,I9,75:75)-SUMIF(74:74,C9,75:75)+100</f>
        <v>100</v>
      </c>
      <c r="K9" s="558"/>
      <c r="L9" s="2714"/>
      <c r="M9" s="2715"/>
      <c r="N9" s="2715"/>
      <c r="O9" s="2769"/>
      <c r="P9" s="3694" t="s">
        <v>1686</v>
      </c>
      <c r="Q9" s="1340" t="str">
        <f t="shared" ref="Q9:Q15" si="6">B9</f>
        <v>用途</v>
      </c>
      <c r="R9" s="699" t="s">
        <v>14</v>
      </c>
      <c r="S9" s="700">
        <f t="shared" si="0"/>
        <v>100</v>
      </c>
      <c r="T9" s="699" t="s">
        <v>14</v>
      </c>
      <c r="U9" s="700">
        <f t="shared" si="1"/>
        <v>100</v>
      </c>
      <c r="V9" s="699" t="s">
        <v>14</v>
      </c>
      <c r="W9" s="700">
        <f t="shared" si="2"/>
        <v>100</v>
      </c>
      <c r="X9" s="701"/>
      <c r="Y9" s="3550" t="s">
        <v>1687</v>
      </c>
      <c r="Z9" s="52" t="str">
        <f t="shared" ref="Z9:Z15" si="7">Q9</f>
        <v>用途</v>
      </c>
      <c r="AA9" s="702">
        <f t="shared" si="3"/>
        <v>1</v>
      </c>
      <c r="AB9" s="702">
        <f t="shared" si="4"/>
        <v>1</v>
      </c>
      <c r="AC9" s="702">
        <f t="shared" si="5"/>
        <v>1</v>
      </c>
    </row>
    <row r="10" spans="1:30" s="376" customFormat="1" ht="28.8">
      <c r="A10" s="372"/>
      <c r="B10" s="373" t="s">
        <v>1688</v>
      </c>
      <c r="C10" s="381"/>
      <c r="D10" s="125">
        <v>100</v>
      </c>
      <c r="E10" s="414"/>
      <c r="F10" s="125">
        <f>ROUND(100/'数据-取费表'!G16,0)</f>
        <v>140</v>
      </c>
      <c r="G10" s="412"/>
      <c r="H10" s="125">
        <f>ROUND(100/'数据-取费表'!G16,0)</f>
        <v>140</v>
      </c>
      <c r="I10" s="412"/>
      <c r="J10" s="125">
        <f>ROUND(100/'数据-取费表'!G16,0)</f>
        <v>140</v>
      </c>
      <c r="K10" s="618"/>
      <c r="L10" s="2716"/>
      <c r="M10" s="2717"/>
      <c r="N10" s="2717"/>
      <c r="O10" s="2770"/>
      <c r="P10" s="3694"/>
      <c r="Q10" s="1340" t="str">
        <f t="shared" si="6"/>
        <v>土地使用年限（年）</v>
      </c>
      <c r="R10" s="699" t="s">
        <v>14</v>
      </c>
      <c r="S10" s="700">
        <f t="shared" si="0"/>
        <v>140</v>
      </c>
      <c r="T10" s="699" t="s">
        <v>14</v>
      </c>
      <c r="U10" s="700">
        <f t="shared" si="1"/>
        <v>140</v>
      </c>
      <c r="V10" s="699" t="s">
        <v>14</v>
      </c>
      <c r="W10" s="700">
        <f t="shared" si="2"/>
        <v>140</v>
      </c>
      <c r="X10" s="701"/>
      <c r="Y10" s="3550"/>
      <c r="Z10" s="52" t="str">
        <f t="shared" si="7"/>
        <v>土地使用年限（年）</v>
      </c>
      <c r="AA10" s="702">
        <f t="shared" si="3"/>
        <v>0.7142857142857143</v>
      </c>
      <c r="AB10" s="702">
        <f t="shared" si="4"/>
        <v>0.7142857142857143</v>
      </c>
      <c r="AC10" s="702">
        <f t="shared" si="5"/>
        <v>0.7142857142857143</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8"/>
      <c r="M11" s="2713"/>
      <c r="N11" s="2713"/>
      <c r="O11" s="2771"/>
      <c r="P11" s="3694"/>
      <c r="Q11" s="1340" t="str">
        <f t="shared" si="6"/>
        <v>容积率</v>
      </c>
      <c r="R11" s="699" t="s">
        <v>14</v>
      </c>
      <c r="S11" s="700" t="e">
        <f t="shared" si="0"/>
        <v>#N/A</v>
      </c>
      <c r="T11" s="699" t="s">
        <v>14</v>
      </c>
      <c r="U11" s="700" t="e">
        <f t="shared" si="1"/>
        <v>#N/A</v>
      </c>
      <c r="V11" s="699" t="s">
        <v>14</v>
      </c>
      <c r="W11" s="700" t="e">
        <f t="shared" si="2"/>
        <v>#N/A</v>
      </c>
      <c r="X11" s="701"/>
      <c r="Y11" s="3550"/>
      <c r="Z11" s="52" t="str">
        <f t="shared" si="7"/>
        <v>容积率</v>
      </c>
      <c r="AA11" s="702" t="e">
        <f t="shared" si="3"/>
        <v>#N/A</v>
      </c>
      <c r="AB11" s="702" t="e">
        <f t="shared" si="4"/>
        <v>#N/A</v>
      </c>
      <c r="AC11" s="702" t="e">
        <f t="shared" si="5"/>
        <v>#N/A</v>
      </c>
    </row>
    <row r="12" spans="1:30" s="107" customFormat="1" ht="15">
      <c r="A12" s="380"/>
      <c r="B12" s="1890" t="s">
        <v>1870</v>
      </c>
      <c r="C12" s="381"/>
      <c r="D12" s="382">
        <v>100</v>
      </c>
      <c r="E12" s="414"/>
      <c r="F12" s="125">
        <f>SUMIF(81:81,E12,82:82)-SUMIF(81:81,C12,82:82)+100</f>
        <v>100</v>
      </c>
      <c r="G12" s="412"/>
      <c r="H12" s="125">
        <f>SUMIF(81:81,G12,82:82)-SUMIF(81:81,C12,82:82)+100</f>
        <v>100</v>
      </c>
      <c r="I12" s="414"/>
      <c r="J12" s="125">
        <f>SUMIF(81:81,I12,82:82)-SUMIF(81:81,C12,82:82)+100</f>
        <v>100</v>
      </c>
      <c r="K12" s="618"/>
      <c r="L12" s="2714"/>
      <c r="M12" s="2715"/>
      <c r="N12" s="2715"/>
      <c r="O12" s="2769"/>
      <c r="P12" s="3694"/>
      <c r="Q12" s="1340" t="str">
        <f t="shared" si="6"/>
        <v>配建</v>
      </c>
      <c r="R12" s="699" t="s">
        <v>14</v>
      </c>
      <c r="S12" s="700">
        <f t="shared" si="0"/>
        <v>100</v>
      </c>
      <c r="T12" s="699" t="s">
        <v>14</v>
      </c>
      <c r="U12" s="700">
        <f t="shared" si="1"/>
        <v>100</v>
      </c>
      <c r="V12" s="699" t="s">
        <v>14</v>
      </c>
      <c r="W12" s="700">
        <f t="shared" si="2"/>
        <v>100</v>
      </c>
      <c r="X12" s="701"/>
      <c r="Y12" s="3550"/>
      <c r="Z12" s="52" t="str">
        <f t="shared" si="7"/>
        <v>配建</v>
      </c>
      <c r="AA12" s="702">
        <f>D12/F12</f>
        <v>1</v>
      </c>
      <c r="AB12" s="702">
        <f>D12/H12</f>
        <v>1</v>
      </c>
      <c r="AC12" s="702">
        <f>D12/J12</f>
        <v>1</v>
      </c>
    </row>
    <row r="13" spans="1:30" ht="15">
      <c r="A13" s="377"/>
      <c r="B13" s="1890">
        <v>111</v>
      </c>
      <c r="C13" s="383"/>
      <c r="D13" s="384">
        <v>100</v>
      </c>
      <c r="E13" s="496"/>
      <c r="F13" s="125">
        <f>SUMIF(83:83,E13,84:84)-SUMIF(83:83,C13,84:84)+100</f>
        <v>100</v>
      </c>
      <c r="G13" s="620"/>
      <c r="H13" s="384">
        <f>SUMIF(83:83,G13,84:84)-SUMIF(83:83,C13,84:84)+100</f>
        <v>100</v>
      </c>
      <c r="I13" s="620"/>
      <c r="J13" s="384">
        <f>SUMIF(83:83,I13,84:84)-SUMIF(83:83,C13,84:84)+100</f>
        <v>100</v>
      </c>
      <c r="K13" s="618"/>
      <c r="L13" s="2719"/>
      <c r="M13" s="2713"/>
      <c r="N13" s="2713"/>
      <c r="O13" s="2771"/>
      <c r="P13" s="3694"/>
      <c r="Q13" s="1340">
        <f t="shared" si="6"/>
        <v>111</v>
      </c>
      <c r="R13" s="699" t="s">
        <v>14</v>
      </c>
      <c r="S13" s="700">
        <f t="shared" si="0"/>
        <v>100</v>
      </c>
      <c r="T13" s="699" t="s">
        <v>14</v>
      </c>
      <c r="U13" s="700">
        <f t="shared" si="1"/>
        <v>100</v>
      </c>
      <c r="V13" s="699" t="s">
        <v>14</v>
      </c>
      <c r="W13" s="700">
        <f t="shared" si="2"/>
        <v>100</v>
      </c>
      <c r="X13" s="701"/>
      <c r="Y13" s="3550"/>
      <c r="Z13" s="52">
        <f t="shared" si="7"/>
        <v>111</v>
      </c>
      <c r="AA13" s="702">
        <f>D13/F13</f>
        <v>1</v>
      </c>
      <c r="AB13" s="702">
        <f>D13/H13</f>
        <v>1</v>
      </c>
      <c r="AC13" s="702">
        <f>D13/J13</f>
        <v>1</v>
      </c>
    </row>
    <row r="14" spans="1:30" ht="15.6" thickBot="1">
      <c r="A14" s="385"/>
      <c r="B14" s="1892">
        <v>111</v>
      </c>
      <c r="C14" s="386"/>
      <c r="D14" s="387">
        <v>100</v>
      </c>
      <c r="E14" s="496"/>
      <c r="F14" s="387">
        <f>SUMIF(85:85,E14,86:86)-SUMIF(85:85,C14,86:86)+100</f>
        <v>100</v>
      </c>
      <c r="G14" s="620"/>
      <c r="H14" s="387">
        <f>SUMIF(85:85,G14,86:86)-SUMIF(85:85,C14,86:86)+100</f>
        <v>100</v>
      </c>
      <c r="I14" s="620"/>
      <c r="J14" s="387">
        <f>SUMIF(85:85,I14,86:86)-SUMIF(85:85,C14,86:86)+100</f>
        <v>100</v>
      </c>
      <c r="K14" s="618"/>
      <c r="L14" s="2719"/>
      <c r="M14" s="2713"/>
      <c r="N14" s="2713"/>
      <c r="O14" s="2771"/>
      <c r="P14" s="3694"/>
      <c r="Q14" s="1340">
        <f t="shared" si="6"/>
        <v>111</v>
      </c>
      <c r="R14" s="699" t="s">
        <v>14</v>
      </c>
      <c r="S14" s="700">
        <f t="shared" si="0"/>
        <v>100</v>
      </c>
      <c r="T14" s="699" t="s">
        <v>14</v>
      </c>
      <c r="U14" s="700">
        <f t="shared" si="1"/>
        <v>100</v>
      </c>
      <c r="V14" s="699" t="s">
        <v>14</v>
      </c>
      <c r="W14" s="700">
        <f t="shared" si="2"/>
        <v>100</v>
      </c>
      <c r="X14" s="701"/>
      <c r="Y14" s="3550"/>
      <c r="Z14" s="52">
        <f t="shared" si="7"/>
        <v>111</v>
      </c>
      <c r="AA14" s="702">
        <f>D14/F14</f>
        <v>1</v>
      </c>
      <c r="AB14" s="702">
        <f>D14/H14</f>
        <v>1</v>
      </c>
      <c r="AC14" s="702">
        <f>D14/J14</f>
        <v>1</v>
      </c>
    </row>
    <row r="15" spans="1:30" ht="96.6">
      <c r="A15" s="389" t="s">
        <v>1690</v>
      </c>
      <c r="B15" s="61" t="s">
        <v>1257</v>
      </c>
      <c r="C15" s="1893" t="str">
        <f>估价对象房地状况!C15</f>
        <v>估价对象周边居住用地比例、居住小区规模和社区发展完善程度，综合评价居住社区成熟度一般</v>
      </c>
      <c r="D15" s="390">
        <v>100</v>
      </c>
      <c r="E15" s="391"/>
      <c r="F15" s="390">
        <f>SUMIF(87:87,E16,88:88)-SUMIF(87:87,C16,88:88)+100</f>
        <v>100</v>
      </c>
      <c r="G15" s="391"/>
      <c r="H15" s="390">
        <f>SUMIF(87:87,G16,88:88)-SUMIF(87:87,C16,88:88)+100</f>
        <v>100</v>
      </c>
      <c r="I15" s="393"/>
      <c r="J15" s="390">
        <f>SUMIF(87:87,I16,88:88)-SUMIF(87:87,C16,88:88)+100</f>
        <v>100</v>
      </c>
      <c r="K15" s="619"/>
      <c r="L15" s="2719"/>
      <c r="M15" s="2713"/>
      <c r="N15" s="2713"/>
      <c r="O15" s="2771"/>
      <c r="P15" s="3696" t="s">
        <v>1691</v>
      </c>
      <c r="Q15" s="1349" t="str">
        <f t="shared" si="6"/>
        <v>居住社区成熟度</v>
      </c>
      <c r="R15" s="703" t="s">
        <v>14</v>
      </c>
      <c r="S15" s="704">
        <f t="shared" si="0"/>
        <v>100</v>
      </c>
      <c r="T15" s="703" t="s">
        <v>14</v>
      </c>
      <c r="U15" s="704">
        <f t="shared" si="1"/>
        <v>100</v>
      </c>
      <c r="V15" s="703" t="s">
        <v>14</v>
      </c>
      <c r="W15" s="704">
        <f t="shared" si="2"/>
        <v>100</v>
      </c>
      <c r="X15" s="1352"/>
      <c r="Y15" s="3696" t="s">
        <v>1691</v>
      </c>
      <c r="Z15" s="1353" t="str">
        <f t="shared" si="7"/>
        <v>居住社区成熟度</v>
      </c>
      <c r="AA15" s="1350">
        <f t="shared" si="3"/>
        <v>1</v>
      </c>
      <c r="AB15" s="1350">
        <f t="shared" si="4"/>
        <v>1</v>
      </c>
      <c r="AC15" s="1350">
        <f t="shared" si="5"/>
        <v>1</v>
      </c>
    </row>
    <row r="16" spans="1:30" ht="15">
      <c r="A16" s="377"/>
      <c r="B16" s="395"/>
      <c r="C16" s="396"/>
      <c r="D16" s="397"/>
      <c r="E16" s="1895"/>
      <c r="F16" s="397"/>
      <c r="G16" s="1895"/>
      <c r="H16" s="399"/>
      <c r="I16" s="1894"/>
      <c r="J16" s="397"/>
      <c r="K16" s="618"/>
      <c r="L16" s="2719"/>
      <c r="M16" s="2713"/>
      <c r="N16" s="2713"/>
      <c r="O16" s="2771"/>
      <c r="P16" s="3697"/>
      <c r="Q16" s="1349"/>
      <c r="R16" s="703"/>
      <c r="S16" s="704"/>
      <c r="T16" s="703"/>
      <c r="U16" s="704"/>
      <c r="V16" s="703"/>
      <c r="W16" s="704"/>
      <c r="X16" s="1352"/>
      <c r="Y16" s="3697"/>
      <c r="Z16" s="1353"/>
      <c r="AA16" s="1350">
        <v>1</v>
      </c>
      <c r="AB16" s="1350">
        <v>1</v>
      </c>
      <c r="AC16" s="1350">
        <v>1</v>
      </c>
    </row>
    <row r="17" spans="1:29" ht="82.8">
      <c r="A17" s="377"/>
      <c r="B17" s="400" t="s">
        <v>1777</v>
      </c>
      <c r="C17" s="1952" t="str">
        <f>估价对象房地状况!C16</f>
        <v>估价对象位于XX商圈，周边商业氛围成熟，人流量大，商业繁华度好</v>
      </c>
      <c r="D17" s="399">
        <v>100</v>
      </c>
      <c r="E17" s="401"/>
      <c r="F17" s="399">
        <f>SUMIF(89:89,E18,90:90)-SUMIF(89:89,C18,90:90)+100</f>
        <v>100</v>
      </c>
      <c r="G17" s="401"/>
      <c r="H17" s="404">
        <f>SUMIF(89:89,G18,90:90)-SUMIF(89:89,C18,90:90)+100</f>
        <v>100</v>
      </c>
      <c r="I17" s="403"/>
      <c r="J17" s="404">
        <f>SUMIF(89:89,I18,90:90)-SUMIF(89:89,C18,90:90)+100</f>
        <v>100</v>
      </c>
      <c r="K17" s="619"/>
      <c r="L17" s="2719"/>
      <c r="M17" s="2713"/>
      <c r="N17" s="2713"/>
      <c r="O17" s="2771"/>
      <c r="P17" s="3697"/>
      <c r="Q17" s="1349" t="str">
        <f>B17</f>
        <v>商业繁华度</v>
      </c>
      <c r="R17" s="703" t="s">
        <v>14</v>
      </c>
      <c r="S17" s="704">
        <f>F17</f>
        <v>100</v>
      </c>
      <c r="T17" s="703" t="s">
        <v>14</v>
      </c>
      <c r="U17" s="704">
        <f>H17</f>
        <v>100</v>
      </c>
      <c r="V17" s="703" t="s">
        <v>14</v>
      </c>
      <c r="W17" s="704">
        <f>J17</f>
        <v>100</v>
      </c>
      <c r="X17" s="1352"/>
      <c r="Y17" s="3697"/>
      <c r="Z17" s="1353" t="str">
        <f>Q17</f>
        <v>商业繁华度</v>
      </c>
      <c r="AA17" s="1350">
        <f t="shared" si="3"/>
        <v>1</v>
      </c>
      <c r="AB17" s="1350">
        <f t="shared" si="4"/>
        <v>1</v>
      </c>
      <c r="AC17" s="1350">
        <f t="shared" si="5"/>
        <v>1</v>
      </c>
    </row>
    <row r="18" spans="1:29" ht="15">
      <c r="A18" s="377"/>
      <c r="B18" s="405"/>
      <c r="C18" s="1898"/>
      <c r="D18" s="399"/>
      <c r="E18" s="1900"/>
      <c r="F18" s="399"/>
      <c r="G18" s="1900"/>
      <c r="H18" s="397"/>
      <c r="I18" s="1899"/>
      <c r="J18" s="397"/>
      <c r="K18" s="618"/>
      <c r="L18" s="2719"/>
      <c r="M18" s="2713"/>
      <c r="N18" s="2713"/>
      <c r="O18" s="2771"/>
      <c r="P18" s="3697"/>
      <c r="Q18" s="1349"/>
      <c r="R18" s="703"/>
      <c r="S18" s="704"/>
      <c r="T18" s="703"/>
      <c r="U18" s="704"/>
      <c r="V18" s="703"/>
      <c r="W18" s="704"/>
      <c r="X18" s="1352"/>
      <c r="Y18" s="3697"/>
      <c r="Z18" s="1353"/>
      <c r="AA18" s="1350">
        <v>1</v>
      </c>
      <c r="AB18" s="1350">
        <v>1</v>
      </c>
      <c r="AC18" s="1350">
        <v>1</v>
      </c>
    </row>
    <row r="19" spans="1:29" ht="82.8">
      <c r="A19" s="377"/>
      <c r="B19" s="400" t="s">
        <v>1811</v>
      </c>
      <c r="C19" s="1952" t="str">
        <f>估价对象房地状况!C17</f>
        <v>估价对象位于XX商圈，周边办公楼项目较多，入驻率高，办公集聚程度较好</v>
      </c>
      <c r="D19" s="404">
        <v>100</v>
      </c>
      <c r="E19" s="406"/>
      <c r="F19" s="404">
        <f>SUMIF(91:91,E20,92:92)-SUMIF(91:91,C20,92:92)+100</f>
        <v>100</v>
      </c>
      <c r="G19" s="406"/>
      <c r="H19" s="399">
        <f>SUMIF(91:91,G20,92:92)-SUMIF(91:91,C20,92:92)+100</f>
        <v>100</v>
      </c>
      <c r="I19" s="408"/>
      <c r="J19" s="399">
        <f>SUMIF(91:91,I20,92:92)-SUMIF(91:91,C20,92:92)+100</f>
        <v>100</v>
      </c>
      <c r="K19" s="619"/>
      <c r="L19" s="2719"/>
      <c r="M19" s="2713"/>
      <c r="N19" s="2713"/>
      <c r="O19" s="2771"/>
      <c r="P19" s="3697"/>
      <c r="Q19" s="1349" t="str">
        <f>B19</f>
        <v>办公集聚程度</v>
      </c>
      <c r="R19" s="703" t="s">
        <v>14</v>
      </c>
      <c r="S19" s="704">
        <f>F19</f>
        <v>100</v>
      </c>
      <c r="T19" s="703" t="s">
        <v>14</v>
      </c>
      <c r="U19" s="704">
        <f>H19</f>
        <v>100</v>
      </c>
      <c r="V19" s="703" t="s">
        <v>14</v>
      </c>
      <c r="W19" s="704">
        <f>J19</f>
        <v>100</v>
      </c>
      <c r="X19" s="1352"/>
      <c r="Y19" s="3697"/>
      <c r="Z19" s="1353" t="str">
        <f>Q19</f>
        <v>办公集聚程度</v>
      </c>
      <c r="AA19" s="1350">
        <f t="shared" si="3"/>
        <v>1</v>
      </c>
      <c r="AB19" s="1350">
        <f t="shared" si="4"/>
        <v>1</v>
      </c>
      <c r="AC19" s="1350">
        <f t="shared" si="5"/>
        <v>1</v>
      </c>
    </row>
    <row r="20" spans="1:29" ht="15">
      <c r="A20" s="377"/>
      <c r="B20" s="405"/>
      <c r="C20" s="396"/>
      <c r="D20" s="397"/>
      <c r="E20" s="1895"/>
      <c r="F20" s="397"/>
      <c r="G20" s="1895"/>
      <c r="H20" s="397"/>
      <c r="I20" s="1894"/>
      <c r="J20" s="397"/>
      <c r="K20" s="618"/>
      <c r="L20" s="2719"/>
      <c r="M20" s="2713"/>
      <c r="N20" s="2713"/>
      <c r="O20" s="2771"/>
      <c r="P20" s="3697"/>
      <c r="Q20" s="1349"/>
      <c r="R20" s="703"/>
      <c r="S20" s="704"/>
      <c r="T20" s="703"/>
      <c r="U20" s="704"/>
      <c r="V20" s="703"/>
      <c r="W20" s="704"/>
      <c r="X20" s="1352"/>
      <c r="Y20" s="3697"/>
      <c r="Z20" s="1353"/>
      <c r="AA20" s="1350">
        <v>1</v>
      </c>
      <c r="AB20" s="1350">
        <v>1</v>
      </c>
      <c r="AC20" s="1350">
        <v>1</v>
      </c>
    </row>
    <row r="21" spans="1:29" ht="96.6">
      <c r="A21" s="377"/>
      <c r="B21" s="400" t="s">
        <v>1833</v>
      </c>
      <c r="C21" s="1897" t="str">
        <f>估价对象房地状况!C18</f>
        <v>估价对象周边道路状况、公共交通通达情况、停车便捷程度，综合评价交通便捷度较好</v>
      </c>
      <c r="D21" s="399">
        <v>100</v>
      </c>
      <c r="E21" s="401"/>
      <c r="F21" s="404">
        <f>SUMIF(93:93,E22,94:94)-SUMIF(93:93,C22,94:94)+100</f>
        <v>100</v>
      </c>
      <c r="G21" s="401"/>
      <c r="H21" s="399">
        <f>SUMIF(93:93,G22,94:94)-SUMIF(93:93,C22,94:94)+100</f>
        <v>100</v>
      </c>
      <c r="I21" s="403"/>
      <c r="J21" s="399">
        <f>SUMIF(93:93,I22,94:94)-SUMIF(93:93,C22,94:94)+100</f>
        <v>100</v>
      </c>
      <c r="K21" s="619"/>
      <c r="L21" s="2719"/>
      <c r="M21" s="2713"/>
      <c r="N21" s="2713"/>
      <c r="O21" s="2771"/>
      <c r="P21" s="3697"/>
      <c r="Q21" s="1349" t="str">
        <f>B21</f>
        <v>交通便捷度</v>
      </c>
      <c r="R21" s="703" t="s">
        <v>14</v>
      </c>
      <c r="S21" s="704">
        <f>F21</f>
        <v>100</v>
      </c>
      <c r="T21" s="703" t="s">
        <v>14</v>
      </c>
      <c r="U21" s="704">
        <f>H21</f>
        <v>100</v>
      </c>
      <c r="V21" s="703" t="s">
        <v>14</v>
      </c>
      <c r="W21" s="704">
        <f>J21</f>
        <v>100</v>
      </c>
      <c r="X21" s="1352"/>
      <c r="Y21" s="3697"/>
      <c r="Z21" s="1353" t="str">
        <f>Q21</f>
        <v>交通便捷度</v>
      </c>
      <c r="AA21" s="1350">
        <f t="shared" si="3"/>
        <v>1</v>
      </c>
      <c r="AB21" s="1350">
        <f t="shared" si="4"/>
        <v>1</v>
      </c>
      <c r="AC21" s="1350">
        <f t="shared" si="5"/>
        <v>1</v>
      </c>
    </row>
    <row r="22" spans="1:29" ht="15">
      <c r="A22" s="377"/>
      <c r="B22" s="1128"/>
      <c r="C22" s="396"/>
      <c r="D22" s="399"/>
      <c r="E22" s="1895"/>
      <c r="F22" s="397"/>
      <c r="G22" s="1895"/>
      <c r="H22" s="397"/>
      <c r="I22" s="1894"/>
      <c r="J22" s="397"/>
      <c r="K22" s="618"/>
      <c r="L22" s="2719"/>
      <c r="M22" s="2713"/>
      <c r="N22" s="2713"/>
      <c r="O22" s="2771"/>
      <c r="P22" s="3697"/>
      <c r="Q22" s="1349"/>
      <c r="R22" s="703"/>
      <c r="S22" s="704"/>
      <c r="T22" s="703"/>
      <c r="U22" s="704"/>
      <c r="V22" s="703"/>
      <c r="W22" s="704"/>
      <c r="X22" s="1352"/>
      <c r="Y22" s="3697"/>
      <c r="Z22" s="1353"/>
      <c r="AA22" s="1350">
        <v>1</v>
      </c>
      <c r="AB22" s="1350">
        <v>1</v>
      </c>
      <c r="AC22" s="1350">
        <v>1</v>
      </c>
    </row>
    <row r="23" spans="1:29" ht="28.8">
      <c r="A23" s="356"/>
      <c r="B23" s="400" t="s">
        <v>1871</v>
      </c>
      <c r="C23" s="1133">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19"/>
      <c r="M23" s="2713"/>
      <c r="N23" s="2713"/>
      <c r="O23" s="2771"/>
      <c r="P23" s="3697"/>
      <c r="Q23" s="1349" t="str">
        <f t="shared" ref="Q23:Q37" si="8">B23</f>
        <v>区域土地利用方向</v>
      </c>
      <c r="R23" s="703" t="s">
        <v>14</v>
      </c>
      <c r="S23" s="704">
        <f>F23</f>
        <v>100</v>
      </c>
      <c r="T23" s="703" t="s">
        <v>14</v>
      </c>
      <c r="U23" s="704">
        <f>H23</f>
        <v>100</v>
      </c>
      <c r="V23" s="703" t="s">
        <v>14</v>
      </c>
      <c r="W23" s="704">
        <f>J23</f>
        <v>100</v>
      </c>
      <c r="X23" s="1352"/>
      <c r="Y23" s="3697"/>
      <c r="Z23" s="1353" t="str">
        <f>Q23</f>
        <v>区域土地利用方向</v>
      </c>
      <c r="AA23" s="1350">
        <f t="shared" si="3"/>
        <v>1</v>
      </c>
      <c r="AB23" s="1350">
        <f t="shared" si="4"/>
        <v>1</v>
      </c>
      <c r="AC23" s="1350">
        <f t="shared" si="5"/>
        <v>1</v>
      </c>
    </row>
    <row r="24" spans="1:29" ht="15">
      <c r="A24" s="356"/>
      <c r="B24" s="405"/>
      <c r="C24" s="563"/>
      <c r="D24" s="397"/>
      <c r="E24" s="1895"/>
      <c r="F24" s="397"/>
      <c r="G24" s="1894"/>
      <c r="H24" s="397"/>
      <c r="I24" s="1894"/>
      <c r="J24" s="397"/>
      <c r="K24" s="738"/>
      <c r="L24" s="2719"/>
      <c r="M24" s="2713"/>
      <c r="N24" s="2713"/>
      <c r="O24" s="2771"/>
      <c r="P24" s="3697"/>
      <c r="Q24" s="1349"/>
      <c r="R24" s="703"/>
      <c r="S24" s="704"/>
      <c r="T24" s="703"/>
      <c r="U24" s="704"/>
      <c r="V24" s="703"/>
      <c r="W24" s="704"/>
      <c r="X24" s="1352"/>
      <c r="Y24" s="3697"/>
      <c r="Z24" s="1353"/>
      <c r="AA24" s="1350"/>
      <c r="AB24" s="1350"/>
      <c r="AC24" s="1350"/>
    </row>
    <row r="25" spans="1:29" ht="55.2">
      <c r="A25" s="356"/>
      <c r="B25" s="1128" t="s">
        <v>1872</v>
      </c>
      <c r="C25" s="1952" t="str">
        <f>估价对象房地状况!C20</f>
        <v>区域自然环境：；人文环境；综合评价环境状况一般</v>
      </c>
      <c r="D25" s="399">
        <v>100</v>
      </c>
      <c r="E25" s="401"/>
      <c r="F25" s="399">
        <f>SUMIF(97:97,E26,98:98)-SUMIF(97:97,C26,98:98)+100</f>
        <v>100</v>
      </c>
      <c r="G25" s="401"/>
      <c r="H25" s="399">
        <f>SUMIF(97:97,G26,98:98)-SUMIF(97:97,C26,98:98)+100</f>
        <v>100</v>
      </c>
      <c r="I25" s="403"/>
      <c r="J25" s="399">
        <f>SUMIF(97:97,I26,98:98)-SUMIF(97:97,C26,98:98)+100</f>
        <v>100</v>
      </c>
      <c r="K25" s="619"/>
      <c r="L25" s="2719"/>
      <c r="M25" s="2713"/>
      <c r="N25" s="2713"/>
      <c r="O25" s="2771"/>
      <c r="P25" s="3697"/>
      <c r="Q25" s="1349" t="str">
        <f t="shared" si="8"/>
        <v>自然及人文环境状况</v>
      </c>
      <c r="R25" s="703" t="s">
        <v>14</v>
      </c>
      <c r="S25" s="704">
        <f>F25</f>
        <v>100</v>
      </c>
      <c r="T25" s="703" t="s">
        <v>14</v>
      </c>
      <c r="U25" s="704">
        <f>H25</f>
        <v>100</v>
      </c>
      <c r="V25" s="703" t="s">
        <v>14</v>
      </c>
      <c r="W25" s="704">
        <f>J25</f>
        <v>100</v>
      </c>
      <c r="X25" s="1352"/>
      <c r="Y25" s="3697"/>
      <c r="Z25" s="1353" t="str">
        <f>Q25</f>
        <v>自然及人文环境状况</v>
      </c>
      <c r="AA25" s="1350">
        <f t="shared" si="3"/>
        <v>1</v>
      </c>
      <c r="AB25" s="1350">
        <f t="shared" si="4"/>
        <v>1</v>
      </c>
      <c r="AC25" s="1350">
        <f t="shared" si="5"/>
        <v>1</v>
      </c>
    </row>
    <row r="26" spans="1:29" ht="15">
      <c r="A26" s="356"/>
      <c r="B26" s="405"/>
      <c r="C26" s="396"/>
      <c r="D26" s="397"/>
      <c r="E26" s="1901"/>
      <c r="F26" s="397"/>
      <c r="G26" s="1901"/>
      <c r="H26" s="397"/>
      <c r="I26" s="396"/>
      <c r="J26" s="397"/>
      <c r="K26" s="618"/>
      <c r="L26" s="2719"/>
      <c r="M26" s="2713"/>
      <c r="N26" s="2713"/>
      <c r="O26" s="2771"/>
      <c r="P26" s="3697"/>
      <c r="Q26" s="1349"/>
      <c r="R26" s="703"/>
      <c r="S26" s="704"/>
      <c r="T26" s="703"/>
      <c r="U26" s="704"/>
      <c r="V26" s="703"/>
      <c r="W26" s="704"/>
      <c r="X26" s="1352"/>
      <c r="Y26" s="3697"/>
      <c r="Z26" s="1353"/>
      <c r="AA26" s="1350">
        <v>1</v>
      </c>
      <c r="AB26" s="1350">
        <v>1</v>
      </c>
      <c r="AC26" s="1350">
        <v>1</v>
      </c>
    </row>
    <row r="27" spans="1:29" s="107" customFormat="1" ht="41.4">
      <c r="A27" s="595"/>
      <c r="B27" s="1128" t="s">
        <v>1778</v>
      </c>
      <c r="C27" s="1897" t="str">
        <f>估价对象房地状况!C21</f>
        <v>估价对象所在区域公共配套设施齐备情况</v>
      </c>
      <c r="D27" s="399">
        <v>100</v>
      </c>
      <c r="E27" s="401"/>
      <c r="F27" s="399">
        <f>SUMIF(99:99,E28,100:100)-SUMIF(99:99,C28,100:100)+100</f>
        <v>100</v>
      </c>
      <c r="G27" s="401"/>
      <c r="H27" s="399">
        <f>SUMIF(99:99,G28,100:100)-SUMIF(99:99,C28,100:100)+100</f>
        <v>100</v>
      </c>
      <c r="I27" s="403"/>
      <c r="J27" s="399">
        <f>SUMIF(99:99,I28,100:100)-SUMIF(99:99,C28,100:100)+100</f>
        <v>100</v>
      </c>
      <c r="K27" s="619"/>
      <c r="L27" s="2714"/>
      <c r="M27" s="2715"/>
      <c r="N27" s="2715"/>
      <c r="O27" s="2769"/>
      <c r="P27" s="3697"/>
      <c r="Q27" s="1340" t="str">
        <f t="shared" si="8"/>
        <v>公共配套设施</v>
      </c>
      <c r="R27" s="699" t="s">
        <v>14</v>
      </c>
      <c r="S27" s="700">
        <f>F27</f>
        <v>100</v>
      </c>
      <c r="T27" s="699" t="s">
        <v>14</v>
      </c>
      <c r="U27" s="700">
        <f>H27</f>
        <v>100</v>
      </c>
      <c r="V27" s="699" t="s">
        <v>14</v>
      </c>
      <c r="W27" s="700">
        <f>J27</f>
        <v>100</v>
      </c>
      <c r="X27" s="701"/>
      <c r="Y27" s="3697"/>
      <c r="Z27" s="52" t="str">
        <f>Q27</f>
        <v>公共配套设施</v>
      </c>
      <c r="AA27" s="1350">
        <f>D27/F27</f>
        <v>1</v>
      </c>
      <c r="AB27" s="1350">
        <f>D27/H27</f>
        <v>1</v>
      </c>
      <c r="AC27" s="1350">
        <f>D27/J27</f>
        <v>1</v>
      </c>
    </row>
    <row r="28" spans="1:29" s="107" customFormat="1" ht="15">
      <c r="A28" s="595"/>
      <c r="B28" s="405"/>
      <c r="C28" s="1975"/>
      <c r="D28" s="397"/>
      <c r="E28" s="1901"/>
      <c r="F28" s="397"/>
      <c r="G28" s="1901"/>
      <c r="H28" s="397"/>
      <c r="I28" s="396"/>
      <c r="J28" s="397"/>
      <c r="K28" s="618"/>
      <c r="L28" s="2714"/>
      <c r="M28" s="2715"/>
      <c r="N28" s="2715"/>
      <c r="O28" s="2769"/>
      <c r="P28" s="3697"/>
      <c r="Q28" s="1340"/>
      <c r="R28" s="699"/>
      <c r="S28" s="700"/>
      <c r="T28" s="699"/>
      <c r="U28" s="700"/>
      <c r="V28" s="699"/>
      <c r="W28" s="700"/>
      <c r="X28" s="701"/>
      <c r="Y28" s="3697"/>
      <c r="Z28" s="52"/>
      <c r="AA28" s="1350">
        <v>1</v>
      </c>
      <c r="AB28" s="1350">
        <v>1</v>
      </c>
      <c r="AC28" s="1350">
        <v>1</v>
      </c>
    </row>
    <row r="29" spans="1:29" s="107" customFormat="1" ht="41.4">
      <c r="A29" s="595"/>
      <c r="B29" s="1128" t="s">
        <v>1779</v>
      </c>
      <c r="C29" s="1897" t="str">
        <f>估价对象房地状况!C22</f>
        <v>估价对象所在区域基础设施水平</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14"/>
      <c r="M29" s="2715"/>
      <c r="N29" s="2715"/>
      <c r="O29" s="2769"/>
      <c r="P29" s="3697"/>
      <c r="Q29" s="1340" t="str">
        <f t="shared" ref="Q29" si="9">B29</f>
        <v>基础设施水平</v>
      </c>
      <c r="R29" s="699" t="s">
        <v>14</v>
      </c>
      <c r="S29" s="700">
        <f>F29</f>
        <v>100</v>
      </c>
      <c r="T29" s="699" t="s">
        <v>14</v>
      </c>
      <c r="U29" s="700">
        <f>H29</f>
        <v>100</v>
      </c>
      <c r="V29" s="699" t="s">
        <v>14</v>
      </c>
      <c r="W29" s="700">
        <f>J29</f>
        <v>100</v>
      </c>
      <c r="X29" s="701"/>
      <c r="Y29" s="3697"/>
      <c r="Z29" s="52" t="str">
        <f>Q29</f>
        <v>基础设施水平</v>
      </c>
      <c r="AA29" s="1350">
        <f>D29/F29</f>
        <v>1</v>
      </c>
      <c r="AB29" s="1350">
        <f>D29/H29</f>
        <v>1</v>
      </c>
      <c r="AC29" s="1350">
        <f>D29/J29</f>
        <v>1</v>
      </c>
    </row>
    <row r="30" spans="1:29" s="107" customFormat="1" ht="15">
      <c r="A30" s="595"/>
      <c r="B30" s="405"/>
      <c r="C30" s="1975"/>
      <c r="D30" s="397"/>
      <c r="E30" s="1976"/>
      <c r="F30" s="397"/>
      <c r="G30" s="1976"/>
      <c r="H30" s="397"/>
      <c r="I30" s="1976"/>
      <c r="J30" s="397"/>
      <c r="K30" s="618"/>
      <c r="L30" s="2714"/>
      <c r="M30" s="2715"/>
      <c r="N30" s="2715"/>
      <c r="O30" s="2769"/>
      <c r="P30" s="3697"/>
      <c r="Q30" s="1340"/>
      <c r="R30" s="699"/>
      <c r="S30" s="700"/>
      <c r="T30" s="699"/>
      <c r="U30" s="700"/>
      <c r="V30" s="699"/>
      <c r="W30" s="700"/>
      <c r="X30" s="701"/>
      <c r="Y30" s="3697"/>
      <c r="Z30" s="52"/>
      <c r="AA30" s="1350">
        <v>1</v>
      </c>
      <c r="AB30" s="1350">
        <v>1</v>
      </c>
      <c r="AC30" s="1350">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9"/>
      <c r="M31" s="2713"/>
      <c r="N31" s="2713"/>
      <c r="O31" s="2771"/>
      <c r="P31" s="3697"/>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697"/>
      <c r="Z31" s="1353" t="str">
        <f t="shared" ref="Z31:Z45" si="13">Q31</f>
        <v>临街状况</v>
      </c>
      <c r="AA31" s="1350">
        <f t="shared" si="3"/>
        <v>1</v>
      </c>
      <c r="AB31" s="1350">
        <f t="shared" si="4"/>
        <v>1</v>
      </c>
      <c r="AC31" s="1350">
        <f t="shared" si="5"/>
        <v>1</v>
      </c>
    </row>
    <row r="32" spans="1:29" ht="28.8">
      <c r="A32" s="377"/>
      <c r="B32" s="1128"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9"/>
      <c r="M32" s="2713"/>
      <c r="N32" s="2713"/>
      <c r="O32" s="2771"/>
      <c r="P32" s="3697"/>
      <c r="Q32" s="1349" t="str">
        <f t="shared" si="8"/>
        <v>毗邻道路的类型与等级</v>
      </c>
      <c r="R32" s="703" t="s">
        <v>14</v>
      </c>
      <c r="S32" s="704">
        <f t="shared" si="10"/>
        <v>100</v>
      </c>
      <c r="T32" s="703" t="s">
        <v>14</v>
      </c>
      <c r="U32" s="704">
        <f t="shared" si="11"/>
        <v>100</v>
      </c>
      <c r="V32" s="703" t="s">
        <v>14</v>
      </c>
      <c r="W32" s="704">
        <f t="shared" si="12"/>
        <v>100</v>
      </c>
      <c r="X32" s="1352"/>
      <c r="Y32" s="3697"/>
      <c r="Z32" s="1353" t="str">
        <f t="shared" si="13"/>
        <v>毗邻道路的类型与等级</v>
      </c>
      <c r="AA32" s="1350">
        <f t="shared" si="3"/>
        <v>1</v>
      </c>
      <c r="AB32" s="1350">
        <f t="shared" si="4"/>
        <v>1</v>
      </c>
      <c r="AC32" s="1350">
        <f t="shared" si="5"/>
        <v>1</v>
      </c>
    </row>
    <row r="33" spans="1:29" ht="15">
      <c r="A33" s="377"/>
      <c r="B33" s="405"/>
      <c r="C33" s="396"/>
      <c r="D33" s="397"/>
      <c r="E33" s="1901"/>
      <c r="F33" s="397"/>
      <c r="G33" s="1901"/>
      <c r="H33" s="397"/>
      <c r="I33" s="396"/>
      <c r="J33" s="397"/>
      <c r="K33" s="560"/>
      <c r="L33" s="2719"/>
      <c r="M33" s="2713"/>
      <c r="N33" s="2713"/>
      <c r="O33" s="2771"/>
      <c r="P33" s="3697"/>
      <c r="Q33" s="1349"/>
      <c r="R33" s="703"/>
      <c r="S33" s="704"/>
      <c r="T33" s="703"/>
      <c r="U33" s="704"/>
      <c r="V33" s="703"/>
      <c r="W33" s="704"/>
      <c r="X33" s="1352"/>
      <c r="Y33" s="3697"/>
      <c r="Z33" s="1353"/>
      <c r="AA33" s="1350">
        <v>1</v>
      </c>
      <c r="AB33" s="1350">
        <v>1</v>
      </c>
      <c r="AC33" s="1350">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19"/>
      <c r="M34" s="2713"/>
      <c r="N34" s="2713"/>
      <c r="O34" s="2771"/>
      <c r="P34" s="3697"/>
      <c r="Q34" s="1349" t="str">
        <f t="shared" si="8"/>
        <v>土地级别</v>
      </c>
      <c r="R34" s="703" t="s">
        <v>14</v>
      </c>
      <c r="S34" s="704">
        <f t="shared" si="10"/>
        <v>100</v>
      </c>
      <c r="T34" s="703" t="s">
        <v>14</v>
      </c>
      <c r="U34" s="704">
        <f t="shared" si="11"/>
        <v>100</v>
      </c>
      <c r="V34" s="703" t="s">
        <v>14</v>
      </c>
      <c r="W34" s="704">
        <f t="shared" si="12"/>
        <v>100</v>
      </c>
      <c r="X34" s="1352"/>
      <c r="Y34" s="3697"/>
      <c r="Z34" s="1353" t="str">
        <f t="shared" si="13"/>
        <v>土地级别</v>
      </c>
      <c r="AA34" s="1350">
        <f t="shared" si="3"/>
        <v>1</v>
      </c>
      <c r="AB34" s="1350">
        <f t="shared" si="4"/>
        <v>1</v>
      </c>
      <c r="AC34" s="1350">
        <f t="shared" si="5"/>
        <v>1</v>
      </c>
    </row>
    <row r="35" spans="1:29" ht="15">
      <c r="A35" s="356"/>
      <c r="B35" s="1130">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9"/>
      <c r="M35" s="2713"/>
      <c r="N35" s="2713"/>
      <c r="O35" s="2771"/>
      <c r="P35" s="3697"/>
      <c r="Q35" s="1349">
        <f t="shared" si="8"/>
        <v>111</v>
      </c>
      <c r="R35" s="703" t="s">
        <v>14</v>
      </c>
      <c r="S35" s="704">
        <f t="shared" si="10"/>
        <v>100</v>
      </c>
      <c r="T35" s="703" t="s">
        <v>14</v>
      </c>
      <c r="U35" s="704">
        <f t="shared" si="11"/>
        <v>100</v>
      </c>
      <c r="V35" s="703" t="s">
        <v>14</v>
      </c>
      <c r="W35" s="704">
        <f t="shared" si="12"/>
        <v>100</v>
      </c>
      <c r="X35" s="1352"/>
      <c r="Y35" s="3697"/>
      <c r="Z35" s="1353">
        <f t="shared" si="13"/>
        <v>111</v>
      </c>
      <c r="AA35" s="1350">
        <f t="shared" si="3"/>
        <v>1</v>
      </c>
      <c r="AB35" s="1350">
        <f t="shared" si="4"/>
        <v>1</v>
      </c>
      <c r="AC35" s="1350">
        <f t="shared" si="5"/>
        <v>1</v>
      </c>
    </row>
    <row r="36" spans="1:29" ht="15">
      <c r="A36" s="621"/>
      <c r="B36" s="1131">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9"/>
      <c r="M36" s="2713"/>
      <c r="N36" s="2713"/>
      <c r="O36" s="2771"/>
      <c r="P36" s="3752" t="s">
        <v>1696</v>
      </c>
      <c r="Q36" s="1349">
        <f t="shared" si="8"/>
        <v>111</v>
      </c>
      <c r="R36" s="703" t="s">
        <v>14</v>
      </c>
      <c r="S36" s="704">
        <f t="shared" si="10"/>
        <v>100</v>
      </c>
      <c r="T36" s="703" t="s">
        <v>14</v>
      </c>
      <c r="U36" s="704">
        <f t="shared" si="11"/>
        <v>100</v>
      </c>
      <c r="V36" s="703" t="s">
        <v>14</v>
      </c>
      <c r="W36" s="704">
        <f t="shared" si="12"/>
        <v>100</v>
      </c>
      <c r="X36" s="1352"/>
      <c r="Y36" s="3701" t="s">
        <v>1696</v>
      </c>
      <c r="Z36" s="1353">
        <f t="shared" si="13"/>
        <v>111</v>
      </c>
      <c r="AA36" s="1350">
        <f t="shared" si="3"/>
        <v>1</v>
      </c>
      <c r="AB36" s="1350">
        <f t="shared" si="4"/>
        <v>1</v>
      </c>
      <c r="AC36" s="1350">
        <f t="shared" si="5"/>
        <v>1</v>
      </c>
    </row>
    <row r="37" spans="1:29" s="420" customFormat="1" ht="15.6" thickBot="1">
      <c r="A37" s="622"/>
      <c r="B37" s="1132">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8"/>
      <c r="M37" s="2720"/>
      <c r="N37" s="2720"/>
      <c r="O37" s="2772"/>
      <c r="P37" s="3701"/>
      <c r="Q37" s="1349">
        <f t="shared" si="8"/>
        <v>111</v>
      </c>
      <c r="R37" s="706" t="s">
        <v>14</v>
      </c>
      <c r="S37" s="707">
        <f t="shared" si="10"/>
        <v>100</v>
      </c>
      <c r="T37" s="706" t="s">
        <v>14</v>
      </c>
      <c r="U37" s="707">
        <f t="shared" si="11"/>
        <v>100</v>
      </c>
      <c r="V37" s="706" t="s">
        <v>14</v>
      </c>
      <c r="W37" s="707">
        <f t="shared" si="12"/>
        <v>100</v>
      </c>
      <c r="X37" s="708"/>
      <c r="Y37" s="3701"/>
      <c r="Z37" s="709">
        <f t="shared" si="13"/>
        <v>111</v>
      </c>
      <c r="AA37" s="1350">
        <f t="shared" si="3"/>
        <v>1</v>
      </c>
      <c r="AB37" s="1350">
        <f t="shared" si="4"/>
        <v>1</v>
      </c>
      <c r="AC37" s="1350">
        <f t="shared" si="5"/>
        <v>1</v>
      </c>
    </row>
    <row r="38" spans="1:29" ht="15.6">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19"/>
      <c r="M38" s="2713"/>
      <c r="N38" s="2713"/>
      <c r="O38" s="2771"/>
      <c r="P38" s="3701"/>
      <c r="Q38" s="1349" t="str">
        <f>B38</f>
        <v>宗地面积</v>
      </c>
      <c r="R38" s="703" t="s">
        <v>14</v>
      </c>
      <c r="S38" s="704" t="e">
        <f t="shared" si="10"/>
        <v>#N/A</v>
      </c>
      <c r="T38" s="703" t="s">
        <v>14</v>
      </c>
      <c r="U38" s="704" t="e">
        <f t="shared" si="11"/>
        <v>#N/A</v>
      </c>
      <c r="V38" s="703" t="s">
        <v>14</v>
      </c>
      <c r="W38" s="704" t="e">
        <f t="shared" si="12"/>
        <v>#N/A</v>
      </c>
      <c r="X38" s="1352"/>
      <c r="Y38" s="3701"/>
      <c r="Z38" s="1353" t="str">
        <f t="shared" si="13"/>
        <v>宗地面积</v>
      </c>
      <c r="AA38" s="1350" t="e">
        <f t="shared" si="3"/>
        <v>#N/A</v>
      </c>
      <c r="AB38" s="1350" t="e">
        <f t="shared" si="4"/>
        <v>#N/A</v>
      </c>
      <c r="AC38" s="1350" t="e">
        <f t="shared" si="5"/>
        <v>#N/A</v>
      </c>
    </row>
    <row r="39" spans="1:29" ht="15">
      <c r="A39" s="421"/>
      <c r="B39" s="373" t="s">
        <v>1875</v>
      </c>
      <c r="C39" s="1903"/>
      <c r="D39" s="384">
        <v>100</v>
      </c>
      <c r="E39" s="1903"/>
      <c r="F39" s="384">
        <f>SUMIF(118:118,E39,119:119)-SUMIF(118:118,C39,119:119)+100</f>
        <v>100</v>
      </c>
      <c r="G39" s="1903"/>
      <c r="H39" s="384">
        <f>SUMIF(118:118,G39,119:119)-SUMIF(118:118,C39,119:119)+100</f>
        <v>100</v>
      </c>
      <c r="I39" s="1903"/>
      <c r="J39" s="384">
        <f>SUMIF(118:118,I39,119:119)-SUMIF(118:118,C39,119:119)+100</f>
        <v>100</v>
      </c>
      <c r="K39" s="559"/>
      <c r="L39" s="2719"/>
      <c r="M39" s="2713"/>
      <c r="N39" s="2713"/>
      <c r="O39" s="2771"/>
      <c r="P39" s="3701"/>
      <c r="Q39" s="1349" t="str">
        <f t="shared" ref="Q39:Q45" si="14">B39</f>
        <v>宗地形状</v>
      </c>
      <c r="R39" s="703" t="s">
        <v>14</v>
      </c>
      <c r="S39" s="704">
        <f t="shared" si="10"/>
        <v>100</v>
      </c>
      <c r="T39" s="703" t="s">
        <v>14</v>
      </c>
      <c r="U39" s="704">
        <f t="shared" si="11"/>
        <v>100</v>
      </c>
      <c r="V39" s="703" t="s">
        <v>14</v>
      </c>
      <c r="W39" s="704">
        <f t="shared" si="12"/>
        <v>100</v>
      </c>
      <c r="X39" s="1352"/>
      <c r="Y39" s="3701"/>
      <c r="Z39" s="1353" t="str">
        <f t="shared" si="13"/>
        <v>宗地形状</v>
      </c>
      <c r="AA39" s="1350">
        <f t="shared" si="3"/>
        <v>1</v>
      </c>
      <c r="AB39" s="1350">
        <f t="shared" si="4"/>
        <v>1</v>
      </c>
      <c r="AC39" s="1350">
        <f t="shared" si="5"/>
        <v>1</v>
      </c>
    </row>
    <row r="40" spans="1:29" ht="15">
      <c r="A40" s="421"/>
      <c r="B40" s="373" t="s">
        <v>1876</v>
      </c>
      <c r="C40" s="1903"/>
      <c r="D40" s="384">
        <v>100</v>
      </c>
      <c r="E40" s="1903"/>
      <c r="F40" s="384">
        <f>SUMIF(120:120,E40,121:121)-SUMIF(120:120,C40,121:121)+100</f>
        <v>100</v>
      </c>
      <c r="G40" s="1903"/>
      <c r="H40" s="384">
        <f>SUMIF(120:120,G40,121:121)-SUMIF(120:120,C40,121:121)+100</f>
        <v>100</v>
      </c>
      <c r="I40" s="1903"/>
      <c r="J40" s="384">
        <f>SUMIF(120:120,I40,121:121)-SUMIF(120:120,C40,121:121)+100</f>
        <v>100</v>
      </c>
      <c r="K40" s="559"/>
      <c r="L40" s="2719"/>
      <c r="M40" s="2713"/>
      <c r="N40" s="2713"/>
      <c r="O40" s="2771"/>
      <c r="P40" s="3701"/>
      <c r="Q40" s="1349" t="str">
        <f t="shared" si="14"/>
        <v>临街宽度及深度</v>
      </c>
      <c r="R40" s="703" t="s">
        <v>14</v>
      </c>
      <c r="S40" s="704">
        <f t="shared" si="10"/>
        <v>100</v>
      </c>
      <c r="T40" s="703" t="s">
        <v>14</v>
      </c>
      <c r="U40" s="704">
        <f t="shared" si="11"/>
        <v>100</v>
      </c>
      <c r="V40" s="703" t="s">
        <v>14</v>
      </c>
      <c r="W40" s="704">
        <f t="shared" si="12"/>
        <v>100</v>
      </c>
      <c r="X40" s="1352"/>
      <c r="Y40" s="3701"/>
      <c r="Z40" s="1353" t="str">
        <f t="shared" si="13"/>
        <v>临街宽度及深度</v>
      </c>
      <c r="AA40" s="1350">
        <f t="shared" si="3"/>
        <v>1</v>
      </c>
      <c r="AB40" s="1350">
        <f t="shared" si="4"/>
        <v>1</v>
      </c>
      <c r="AC40" s="1350">
        <f t="shared" si="5"/>
        <v>1</v>
      </c>
    </row>
    <row r="41" spans="1:29" s="107" customFormat="1" ht="15">
      <c r="A41" s="422"/>
      <c r="B41" s="373" t="s">
        <v>1877</v>
      </c>
      <c r="C41" s="1977"/>
      <c r="D41" s="125">
        <v>100</v>
      </c>
      <c r="E41" s="1977"/>
      <c r="F41" s="384">
        <f>SUMIF(122:122,E41,123:123)-SUMIF(122:122,C41,123:123)+100</f>
        <v>100</v>
      </c>
      <c r="G41" s="1977"/>
      <c r="H41" s="384">
        <f>SUMIF(122:122,G41,123:123)-SUMIF(122:122,C41,123:123)+100</f>
        <v>100</v>
      </c>
      <c r="I41" s="1977"/>
      <c r="J41" s="384">
        <f>SUMIF(122:122,I41,123:123)-SUMIF(122:122,C41,123:123)+100</f>
        <v>100</v>
      </c>
      <c r="K41" s="559"/>
      <c r="L41" s="2714"/>
      <c r="M41" s="2715"/>
      <c r="N41" s="2715"/>
      <c r="O41" s="2769"/>
      <c r="P41" s="3701"/>
      <c r="Q41" s="1349" t="str">
        <f t="shared" si="14"/>
        <v>宗地开发程度</v>
      </c>
      <c r="R41" s="699" t="s">
        <v>14</v>
      </c>
      <c r="S41" s="700">
        <f t="shared" si="10"/>
        <v>100</v>
      </c>
      <c r="T41" s="699" t="s">
        <v>14</v>
      </c>
      <c r="U41" s="700">
        <f t="shared" si="11"/>
        <v>100</v>
      </c>
      <c r="V41" s="699" t="s">
        <v>14</v>
      </c>
      <c r="W41" s="700">
        <f t="shared" si="12"/>
        <v>100</v>
      </c>
      <c r="X41" s="701"/>
      <c r="Y41" s="3701"/>
      <c r="Z41" s="52" t="str">
        <f t="shared" si="13"/>
        <v>宗地开发程度</v>
      </c>
      <c r="AA41" s="702">
        <f t="shared" si="3"/>
        <v>1</v>
      </c>
      <c r="AB41" s="702">
        <f t="shared" si="4"/>
        <v>1</v>
      </c>
      <c r="AC41" s="702">
        <f t="shared" si="5"/>
        <v>1</v>
      </c>
    </row>
    <row r="42" spans="1:29" ht="15">
      <c r="A42" s="421"/>
      <c r="B42" s="373" t="s">
        <v>1878</v>
      </c>
      <c r="C42" s="1903"/>
      <c r="D42" s="384">
        <v>100</v>
      </c>
      <c r="E42" s="1903"/>
      <c r="F42" s="384">
        <f>SUMIF(124:124,E42,125:125)-SUMIF(124:124,C42,125:125)+100</f>
        <v>100</v>
      </c>
      <c r="G42" s="1903"/>
      <c r="H42" s="384">
        <f>SUMIF(124:124,G42,125:125)-SUMIF(124:124,C42,125:125)+100</f>
        <v>100</v>
      </c>
      <c r="I42" s="1903"/>
      <c r="J42" s="384">
        <f>SUMIF(124:124,I42,125:125)-SUMIF(124:124,C42,125:125)+100</f>
        <v>100</v>
      </c>
      <c r="K42" s="559"/>
      <c r="L42" s="2719"/>
      <c r="M42" s="2713"/>
      <c r="N42" s="2713"/>
      <c r="O42" s="2771"/>
      <c r="P42" s="3701" t="s">
        <v>1696</v>
      </c>
      <c r="Q42" s="1349" t="str">
        <f t="shared" si="14"/>
        <v>工程地质条件</v>
      </c>
      <c r="R42" s="703" t="s">
        <v>14</v>
      </c>
      <c r="S42" s="704">
        <f t="shared" si="10"/>
        <v>100</v>
      </c>
      <c r="T42" s="703" t="s">
        <v>14</v>
      </c>
      <c r="U42" s="704">
        <f t="shared" si="11"/>
        <v>100</v>
      </c>
      <c r="V42" s="703" t="s">
        <v>14</v>
      </c>
      <c r="W42" s="704">
        <f t="shared" si="12"/>
        <v>100</v>
      </c>
      <c r="X42" s="1352"/>
      <c r="Y42" s="3701" t="s">
        <v>1696</v>
      </c>
      <c r="Z42" s="1353" t="str">
        <f t="shared" si="13"/>
        <v>工程地质条件</v>
      </c>
      <c r="AA42" s="1350">
        <f t="shared" si="3"/>
        <v>1</v>
      </c>
      <c r="AB42" s="1350">
        <f t="shared" si="4"/>
        <v>1</v>
      </c>
      <c r="AC42" s="1350">
        <f t="shared" si="5"/>
        <v>1</v>
      </c>
    </row>
    <row r="43" spans="1:29" ht="15">
      <c r="A43" s="421"/>
      <c r="B43" s="1131">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9"/>
      <c r="M43" s="2713"/>
      <c r="N43" s="2713"/>
      <c r="O43" s="2771"/>
      <c r="P43" s="3701"/>
      <c r="Q43" s="1349">
        <f t="shared" si="14"/>
        <v>111</v>
      </c>
      <c r="R43" s="703" t="s">
        <v>14</v>
      </c>
      <c r="S43" s="704">
        <f t="shared" si="10"/>
        <v>100</v>
      </c>
      <c r="T43" s="703" t="s">
        <v>14</v>
      </c>
      <c r="U43" s="704">
        <f t="shared" si="11"/>
        <v>100</v>
      </c>
      <c r="V43" s="703" t="s">
        <v>14</v>
      </c>
      <c r="W43" s="704">
        <f t="shared" si="12"/>
        <v>100</v>
      </c>
      <c r="X43" s="1352"/>
      <c r="Y43" s="3701"/>
      <c r="Z43" s="1353">
        <f t="shared" si="13"/>
        <v>111</v>
      </c>
      <c r="AA43" s="1350">
        <f t="shared" si="3"/>
        <v>1</v>
      </c>
      <c r="AB43" s="1350">
        <f t="shared" si="4"/>
        <v>1</v>
      </c>
      <c r="AC43" s="1350">
        <f t="shared" si="5"/>
        <v>1</v>
      </c>
    </row>
    <row r="44" spans="1:29" ht="15">
      <c r="A44" s="421"/>
      <c r="B44" s="1131">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9"/>
      <c r="M44" s="2713"/>
      <c r="N44" s="2713"/>
      <c r="O44" s="2771"/>
      <c r="P44" s="3701"/>
      <c r="Q44" s="1349">
        <f t="shared" si="14"/>
        <v>111</v>
      </c>
      <c r="R44" s="703" t="s">
        <v>14</v>
      </c>
      <c r="S44" s="704">
        <f t="shared" si="10"/>
        <v>100</v>
      </c>
      <c r="T44" s="703" t="s">
        <v>14</v>
      </c>
      <c r="U44" s="704">
        <f t="shared" si="11"/>
        <v>100</v>
      </c>
      <c r="V44" s="703" t="s">
        <v>14</v>
      </c>
      <c r="W44" s="704">
        <f t="shared" si="12"/>
        <v>100</v>
      </c>
      <c r="X44" s="1352"/>
      <c r="Y44" s="3701"/>
      <c r="Z44" s="1353">
        <f t="shared" si="13"/>
        <v>111</v>
      </c>
      <c r="AA44" s="1350">
        <f t="shared" si="3"/>
        <v>1</v>
      </c>
      <c r="AB44" s="1350">
        <f t="shared" si="4"/>
        <v>1</v>
      </c>
      <c r="AC44" s="1350">
        <f t="shared" si="5"/>
        <v>1</v>
      </c>
    </row>
    <row r="45" spans="1:29" s="420" customFormat="1" ht="15.6" thickBot="1">
      <c r="A45" s="417"/>
      <c r="B45" s="1131">
        <v>111</v>
      </c>
      <c r="C45" s="1978"/>
      <c r="D45" s="626">
        <v>100</v>
      </c>
      <c r="E45" s="620"/>
      <c r="F45" s="387">
        <f>SUMIF(130:130,E45,131:131)-SUMIF(130:130,C45,131:131)+100</f>
        <v>100</v>
      </c>
      <c r="G45" s="620"/>
      <c r="H45" s="387">
        <f>SUMIF(130:130,G45,131:131)-SUMIF(130:130,C45,131:131)+100</f>
        <v>100</v>
      </c>
      <c r="I45" s="620"/>
      <c r="J45" s="387">
        <f>SUMIF(130:130,I45,131:131)-SUMIF(130:130,C45,131:131)+100</f>
        <v>100</v>
      </c>
      <c r="K45" s="627"/>
      <c r="L45" s="2718"/>
      <c r="M45" s="2720"/>
      <c r="N45" s="2720"/>
      <c r="O45" s="2772"/>
      <c r="P45" s="3701"/>
      <c r="Q45" s="1349">
        <f t="shared" si="14"/>
        <v>111</v>
      </c>
      <c r="R45" s="706" t="s">
        <v>14</v>
      </c>
      <c r="S45" s="707">
        <f t="shared" si="10"/>
        <v>100</v>
      </c>
      <c r="T45" s="706" t="s">
        <v>14</v>
      </c>
      <c r="U45" s="707">
        <f t="shared" si="11"/>
        <v>100</v>
      </c>
      <c r="V45" s="706" t="s">
        <v>14</v>
      </c>
      <c r="W45" s="707">
        <f t="shared" si="12"/>
        <v>100</v>
      </c>
      <c r="X45" s="708"/>
      <c r="Y45" s="3701"/>
      <c r="Z45" s="709">
        <f t="shared" si="13"/>
        <v>111</v>
      </c>
      <c r="AA45" s="1350">
        <f t="shared" si="3"/>
        <v>1</v>
      </c>
      <c r="AB45" s="1350">
        <f t="shared" si="4"/>
        <v>1</v>
      </c>
      <c r="AC45" s="1350">
        <f t="shared" si="5"/>
        <v>1</v>
      </c>
    </row>
    <row r="46" spans="1:29" ht="14.4">
      <c r="A46" s="428" t="s">
        <v>1844</v>
      </c>
      <c r="B46" s="1979" t="s">
        <v>1879</v>
      </c>
      <c r="C46" s="628" t="s">
        <v>0</v>
      </c>
      <c r="D46" s="430"/>
      <c r="E46" s="431"/>
      <c r="F46" s="432"/>
      <c r="G46" s="433"/>
      <c r="H46" s="434"/>
      <c r="I46" s="431"/>
      <c r="J46" s="434"/>
      <c r="K46" s="712"/>
      <c r="L46" s="2721"/>
      <c r="M46" s="2722"/>
      <c r="N46" s="2713"/>
      <c r="O46" s="2722"/>
      <c r="P46" s="3694" t="str">
        <f>A46</f>
        <v>成交单价</v>
      </c>
      <c r="Q46" s="3694"/>
      <c r="R46" s="3725">
        <f>E46</f>
        <v>0</v>
      </c>
      <c r="S46" s="3725"/>
      <c r="T46" s="3725">
        <f>G46</f>
        <v>0</v>
      </c>
      <c r="U46" s="3725"/>
      <c r="V46" s="3725">
        <f>I46</f>
        <v>0</v>
      </c>
      <c r="W46" s="3725"/>
      <c r="X46" s="688"/>
      <c r="Y46" s="710"/>
      <c r="Z46" s="688"/>
      <c r="AA46" s="688"/>
      <c r="AB46" s="688"/>
      <c r="AC46" s="688"/>
    </row>
    <row r="47" spans="1:29" ht="15" thickBot="1">
      <c r="A47" s="435" t="s">
        <v>1793</v>
      </c>
      <c r="B47" s="629"/>
      <c r="C47" s="438" t="e">
        <f>R48</f>
        <v>#DIV/0!</v>
      </c>
      <c r="D47" s="2314" t="s">
        <v>2138</v>
      </c>
      <c r="E47" s="438" t="e">
        <f>R47</f>
        <v>#DIV/0!</v>
      </c>
      <c r="F47" s="2315"/>
      <c r="G47" s="437" t="e">
        <f>T47</f>
        <v>#DIV/0!</v>
      </c>
      <c r="H47" s="2315"/>
      <c r="I47" s="438" t="e">
        <f>V47</f>
        <v>#DIV/0!</v>
      </c>
      <c r="J47" s="2315"/>
      <c r="K47" s="2317">
        <f>F47+H47+J47</f>
        <v>0</v>
      </c>
      <c r="L47" s="2721"/>
      <c r="M47" s="2722"/>
      <c r="N47" s="2722"/>
      <c r="O47" s="2722"/>
      <c r="P47" s="3694" t="str">
        <f>A47</f>
        <v>比较价值（元/平方米）</v>
      </c>
      <c r="Q47" s="3694"/>
      <c r="R47" s="3754" t="e">
        <f>ROUND(PRODUCT(R46,AA7:AA45),0)</f>
        <v>#DIV/0!</v>
      </c>
      <c r="S47" s="3754"/>
      <c r="T47" s="3754" t="e">
        <f>ROUND(PRODUCT(T46,AB7:AB45),0)</f>
        <v>#DIV/0!</v>
      </c>
      <c r="U47" s="3754"/>
      <c r="V47" s="3754" t="e">
        <f>ROUND(PRODUCT(V46,AC7:AC45),0)</f>
        <v>#DIV/0!</v>
      </c>
      <c r="W47" s="3754"/>
      <c r="X47" s="688"/>
      <c r="Y47" s="688"/>
      <c r="Z47" s="688"/>
      <c r="AA47" s="688"/>
      <c r="AB47" s="688"/>
      <c r="AC47" s="688"/>
    </row>
    <row r="48" spans="1:29" ht="15" thickBot="1">
      <c r="A48" s="439" t="s">
        <v>1880</v>
      </c>
      <c r="B48" s="440"/>
      <c r="C48" s="441" t="e">
        <f>R48</f>
        <v>#DIV/0!</v>
      </c>
      <c r="D48" s="441"/>
      <c r="E48" s="441"/>
      <c r="F48" s="441"/>
      <c r="G48" s="441"/>
      <c r="H48" s="441"/>
      <c r="I48" s="441"/>
      <c r="J48" s="441"/>
      <c r="K48" s="713"/>
      <c r="L48" s="2721"/>
      <c r="M48" s="2722"/>
      <c r="N48" s="2722"/>
      <c r="O48" s="2722"/>
      <c r="P48" s="3691" t="str">
        <f>A48</f>
        <v>估价对象XX用房的比较价值（楼面单价，元/平方米）</v>
      </c>
      <c r="Q48" s="3692"/>
      <c r="R48" s="3755" t="e">
        <f>ROUND(IF(D47="简单平均",AVERAGE(R47:W47),R47*F47+T47*H47+V47*J47),0)</f>
        <v>#DIV/0!</v>
      </c>
      <c r="S48" s="3755"/>
      <c r="T48" s="3755"/>
      <c r="U48" s="3755"/>
      <c r="V48" s="3755"/>
      <c r="W48" s="3755"/>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49" customFormat="1" ht="13.5" customHeight="1">
      <c r="A53" s="2725"/>
      <c r="B53" s="2725"/>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49" customFormat="1" ht="14.4"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0" t="s">
        <v>1881</v>
      </c>
      <c r="B55" s="631" t="s">
        <v>1882</v>
      </c>
      <c r="C55" s="1980" t="s">
        <v>1883</v>
      </c>
      <c r="D55" s="1981" t="s">
        <v>1884</v>
      </c>
      <c r="E55" s="632" t="s">
        <v>1885</v>
      </c>
      <c r="F55" s="887" t="s">
        <v>1886</v>
      </c>
      <c r="G55" s="3709" t="s">
        <v>1887</v>
      </c>
      <c r="H55" s="3756"/>
      <c r="I55" s="133"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38" customFormat="1">
      <c r="A56" s="634" t="s">
        <v>1890</v>
      </c>
      <c r="B56" s="635" t="e">
        <f>C48</f>
        <v>#DIV/0!</v>
      </c>
      <c r="C56" s="636">
        <v>1</v>
      </c>
      <c r="D56" s="941">
        <v>1</v>
      </c>
      <c r="E56" s="636">
        <f>'数据-汇总表'!E8+'数据-汇总表'!E9</f>
        <v>204.38</v>
      </c>
      <c r="F56" s="883" t="e">
        <f t="shared" ref="F56:F64" si="15">ROUND(B56*E56/10000,0)</f>
        <v>#DIV/0!</v>
      </c>
      <c r="G56" s="3705"/>
      <c r="H56" s="3694"/>
      <c r="I56" s="888">
        <v>1</v>
      </c>
      <c r="J56" s="891">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8" customFormat="1">
      <c r="A57" s="639" t="s">
        <v>1891</v>
      </c>
      <c r="B57" s="216" t="e">
        <f>ROUND($C$48*C57*D57,0)</f>
        <v>#DIV/0!</v>
      </c>
      <c r="C57" s="169">
        <f t="shared" ref="C57:C64" si="16">IF($C$55="北京市系数",I57,J57)</f>
        <v>0.6</v>
      </c>
      <c r="D57" s="942">
        <v>0.25</v>
      </c>
      <c r="E57" s="640"/>
      <c r="F57" s="883" t="e">
        <f t="shared" si="15"/>
        <v>#DIV/0!</v>
      </c>
      <c r="G57" s="3003" t="s">
        <v>1892</v>
      </c>
      <c r="H57" s="884" t="str">
        <f>项目基本情况!B37</f>
        <v>五级</v>
      </c>
      <c r="I57" s="888">
        <f>SUMIF(修正!A57:A68,H57,修正!B57:B68)</f>
        <v>0.6</v>
      </c>
      <c r="J57" s="892"/>
      <c r="K57" s="2722"/>
      <c r="L57" s="2779"/>
      <c r="M57" s="2779"/>
      <c r="N57" s="2779"/>
      <c r="O57" s="2779"/>
      <c r="P57" s="2779"/>
      <c r="Q57" s="2779"/>
      <c r="R57" s="2779"/>
      <c r="S57" s="2779"/>
      <c r="T57" s="2779"/>
      <c r="U57" s="2779"/>
      <c r="V57" s="2779"/>
      <c r="W57" s="2779"/>
      <c r="X57" s="2779"/>
      <c r="Y57" s="2779"/>
      <c r="Z57" s="2779"/>
      <c r="AA57" s="2779"/>
      <c r="AB57" s="2779"/>
      <c r="AC57" s="2779"/>
    </row>
    <row r="58" spans="1:29" s="638" customFormat="1">
      <c r="A58" s="639" t="s">
        <v>1893</v>
      </c>
      <c r="B58" s="216" t="e">
        <f t="shared" ref="B58:B64" si="17">ROUND($C$48*C58*D58,0)</f>
        <v>#DIV/0!</v>
      </c>
      <c r="C58" s="169">
        <f t="shared" si="16"/>
        <v>0.3</v>
      </c>
      <c r="D58" s="942">
        <v>0.25</v>
      </c>
      <c r="E58" s="640"/>
      <c r="F58" s="883" t="e">
        <f t="shared" si="15"/>
        <v>#DIV/0!</v>
      </c>
      <c r="G58" s="3004"/>
      <c r="H58" s="884" t="str">
        <f>项目基本情况!B37</f>
        <v>五级</v>
      </c>
      <c r="I58" s="888">
        <f>SUMIF(修正!A57:A68,H58,修正!C57:C68)</f>
        <v>0.3</v>
      </c>
      <c r="J58" s="892"/>
      <c r="K58" s="2725"/>
      <c r="L58" s="2779"/>
      <c r="M58" s="2779"/>
      <c r="N58" s="2779"/>
      <c r="O58" s="2779"/>
      <c r="P58" s="2779"/>
      <c r="Q58" s="2779"/>
      <c r="R58" s="2779"/>
      <c r="S58" s="2779"/>
      <c r="T58" s="2779"/>
      <c r="U58" s="2779"/>
      <c r="V58" s="2779"/>
      <c r="W58" s="2779"/>
      <c r="X58" s="2779"/>
      <c r="Y58" s="2779"/>
      <c r="Z58" s="2779"/>
      <c r="AA58" s="2779"/>
      <c r="AB58" s="2779"/>
      <c r="AC58" s="2779"/>
    </row>
    <row r="59" spans="1:29" s="638" customFormat="1">
      <c r="A59" s="639" t="s">
        <v>1894</v>
      </c>
      <c r="B59" s="216" t="e">
        <f t="shared" si="17"/>
        <v>#DIV/0!</v>
      </c>
      <c r="C59" s="169">
        <f t="shared" si="16"/>
        <v>0.25</v>
      </c>
      <c r="D59" s="942">
        <v>0.25</v>
      </c>
      <c r="E59" s="640"/>
      <c r="F59" s="883" t="e">
        <f t="shared" si="15"/>
        <v>#DIV/0!</v>
      </c>
      <c r="G59" s="3004"/>
      <c r="H59" s="884" t="str">
        <f>项目基本情况!B37</f>
        <v>五级</v>
      </c>
      <c r="I59" s="888">
        <f>SUMIF(修正!A57:A68,H59,修正!D57:D68)</f>
        <v>0.25</v>
      </c>
      <c r="J59" s="892"/>
      <c r="K59" s="2722"/>
      <c r="L59" s="2779"/>
      <c r="M59" s="2779"/>
      <c r="N59" s="2779"/>
      <c r="O59" s="2779"/>
      <c r="P59" s="2779"/>
      <c r="Q59" s="2779"/>
      <c r="R59" s="2779"/>
      <c r="S59" s="2779"/>
      <c r="T59" s="2779"/>
      <c r="U59" s="2779"/>
      <c r="V59" s="2779"/>
      <c r="W59" s="2779"/>
      <c r="X59" s="2779"/>
      <c r="Y59" s="2779"/>
      <c r="Z59" s="2779"/>
      <c r="AA59" s="2779"/>
      <c r="AB59" s="2779"/>
      <c r="AC59" s="2779"/>
    </row>
    <row r="60" spans="1:29" s="638" customFormat="1">
      <c r="A60" s="639" t="s">
        <v>1895</v>
      </c>
      <c r="B60" s="216" t="e">
        <f t="shared" si="17"/>
        <v>#DIV/0!</v>
      </c>
      <c r="C60" s="169">
        <f t="shared" si="16"/>
        <v>0</v>
      </c>
      <c r="D60" s="942">
        <v>0.25</v>
      </c>
      <c r="E60" s="215">
        <f>'数据-汇总表'!E11</f>
        <v>0</v>
      </c>
      <c r="F60" s="883" t="e">
        <f t="shared" si="15"/>
        <v>#DIV/0!</v>
      </c>
      <c r="G60" s="1984" t="s">
        <v>1896</v>
      </c>
      <c r="H60" s="884">
        <f>项目基本情况!C37</f>
        <v>0</v>
      </c>
      <c r="I60" s="888">
        <f>SUMIF(修正!A57:A68,H60,修正!E57:E68)</f>
        <v>0</v>
      </c>
      <c r="J60" s="892"/>
      <c r="K60" s="2722"/>
      <c r="L60" s="2779"/>
      <c r="M60" s="2779"/>
      <c r="N60" s="2779"/>
      <c r="O60" s="2779"/>
      <c r="P60" s="2779"/>
      <c r="Q60" s="2779"/>
      <c r="R60" s="2779"/>
      <c r="S60" s="2779"/>
      <c r="T60" s="2779"/>
      <c r="U60" s="2779"/>
      <c r="V60" s="2779"/>
      <c r="W60" s="2779"/>
      <c r="X60" s="2779"/>
      <c r="Y60" s="2779"/>
      <c r="Z60" s="2779"/>
      <c r="AA60" s="2779"/>
      <c r="AB60" s="2779"/>
      <c r="AC60" s="2779"/>
    </row>
    <row r="61" spans="1:29" s="638" customFormat="1">
      <c r="A61" s="639" t="s">
        <v>1897</v>
      </c>
      <c r="B61" s="216" t="e">
        <f t="shared" si="17"/>
        <v>#DIV/0!</v>
      </c>
      <c r="C61" s="169">
        <f t="shared" si="16"/>
        <v>0</v>
      </c>
      <c r="D61" s="942">
        <v>0.25</v>
      </c>
      <c r="E61" s="215">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5"/>
      <c r="L61" s="2779"/>
      <c r="M61" s="2779"/>
      <c r="N61" s="2779"/>
      <c r="O61" s="2779"/>
      <c r="P61" s="2779"/>
      <c r="Q61" s="2779"/>
      <c r="R61" s="2779"/>
      <c r="S61" s="2779"/>
      <c r="T61" s="2779"/>
      <c r="U61" s="2779"/>
      <c r="V61" s="2779"/>
      <c r="W61" s="2779"/>
      <c r="X61" s="2779"/>
      <c r="Y61" s="2779"/>
      <c r="Z61" s="2779"/>
      <c r="AA61" s="2779"/>
      <c r="AB61" s="2779"/>
      <c r="AC61" s="2779"/>
    </row>
    <row r="62" spans="1:29" s="638" customFormat="1">
      <c r="A62" s="639" t="s">
        <v>1899</v>
      </c>
      <c r="B62" s="216" t="e">
        <f t="shared" si="17"/>
        <v>#DIV/0!</v>
      </c>
      <c r="C62" s="169">
        <f t="shared" si="16"/>
        <v>0</v>
      </c>
      <c r="D62" s="942">
        <v>0.25</v>
      </c>
      <c r="E62" s="215">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2"/>
      <c r="L62" s="2779"/>
      <c r="M62" s="2779"/>
      <c r="N62" s="2779"/>
      <c r="O62" s="2779"/>
      <c r="P62" s="2779"/>
      <c r="Q62" s="2779"/>
      <c r="R62" s="2779"/>
      <c r="S62" s="2779"/>
      <c r="T62" s="2779"/>
      <c r="U62" s="2779"/>
      <c r="V62" s="2779"/>
      <c r="W62" s="2779"/>
      <c r="X62" s="2779"/>
      <c r="Y62" s="2779"/>
      <c r="Z62" s="2779"/>
      <c r="AA62" s="2779"/>
      <c r="AB62" s="2779"/>
      <c r="AC62" s="2779"/>
    </row>
    <row r="63" spans="1:29" s="638" customFormat="1">
      <c r="A63" s="639" t="s">
        <v>1901</v>
      </c>
      <c r="B63" s="216" t="e">
        <f t="shared" si="17"/>
        <v>#DIV/0!</v>
      </c>
      <c r="C63" s="169">
        <f t="shared" si="16"/>
        <v>0.15</v>
      </c>
      <c r="D63" s="942">
        <v>0.25</v>
      </c>
      <c r="E63" s="215">
        <f>'数据-汇总表'!E14</f>
        <v>0</v>
      </c>
      <c r="F63" s="883" t="e">
        <f t="shared" si="15"/>
        <v>#DIV/0!</v>
      </c>
      <c r="G63" s="1984" t="s">
        <v>1892</v>
      </c>
      <c r="H63" s="884" t="str">
        <f>项目基本情况!B37</f>
        <v>五级</v>
      </c>
      <c r="I63" s="888">
        <f>SUMIF(修正!A57:A68,H63,修正!G57:G68)</f>
        <v>0.15</v>
      </c>
      <c r="J63" s="892"/>
      <c r="K63" s="2725"/>
      <c r="L63" s="2779"/>
      <c r="M63" s="2779"/>
      <c r="N63" s="2779"/>
      <c r="O63" s="2779"/>
      <c r="P63" s="2779"/>
      <c r="Q63" s="2779"/>
      <c r="R63" s="2779"/>
      <c r="S63" s="2779"/>
      <c r="T63" s="2779"/>
      <c r="U63" s="2779"/>
      <c r="V63" s="2779"/>
      <c r="W63" s="2779"/>
      <c r="X63" s="2779"/>
      <c r="Y63" s="2779"/>
      <c r="Z63" s="2779"/>
      <c r="AA63" s="2779"/>
      <c r="AB63" s="2779"/>
      <c r="AC63" s="2779"/>
    </row>
    <row r="64" spans="1:29" s="638" customFormat="1" ht="14.4" thickBot="1">
      <c r="A64" s="639" t="s">
        <v>1902</v>
      </c>
      <c r="B64" s="216" t="e">
        <f t="shared" si="17"/>
        <v>#DIV/0!</v>
      </c>
      <c r="C64" s="169">
        <f t="shared" si="16"/>
        <v>0</v>
      </c>
      <c r="D64" s="942">
        <v>0.25</v>
      </c>
      <c r="E64" s="215">
        <f>'数据-汇总表'!E15</f>
        <v>0</v>
      </c>
      <c r="F64" s="883" t="e">
        <f t="shared" si="15"/>
        <v>#DIV/0!</v>
      </c>
      <c r="G64" s="1985" t="s">
        <v>1896</v>
      </c>
      <c r="H64" s="894">
        <f>项目基本情况!C37</f>
        <v>0</v>
      </c>
      <c r="I64" s="890">
        <f>SUMIF(修正!A57:A68,H64,修正!G57:G68)</f>
        <v>0</v>
      </c>
      <c r="J64" s="893"/>
      <c r="K64" s="2722"/>
      <c r="L64" s="2779"/>
      <c r="M64" s="2779"/>
      <c r="N64" s="2779"/>
      <c r="O64" s="2779"/>
      <c r="P64" s="2779"/>
      <c r="Q64" s="2779"/>
      <c r="R64" s="2779"/>
      <c r="S64" s="2779"/>
      <c r="T64" s="2779"/>
      <c r="U64" s="2779"/>
      <c r="V64" s="2779"/>
      <c r="W64" s="2779"/>
      <c r="X64" s="2779"/>
      <c r="Y64" s="2779"/>
      <c r="Z64" s="2779"/>
      <c r="AA64" s="2779"/>
      <c r="AB64" s="2779"/>
      <c r="AC64" s="2779"/>
    </row>
    <row r="65" spans="1:29" s="638" customFormat="1" thickBot="1">
      <c r="A65" s="641" t="s">
        <v>1903</v>
      </c>
      <c r="B65" s="642" t="s">
        <v>22</v>
      </c>
      <c r="C65" s="642" t="s">
        <v>23</v>
      </c>
      <c r="D65" s="642" t="s">
        <v>392</v>
      </c>
      <c r="E65" s="642">
        <f>IF(B46="楼面地价",SUM(E56:E64),'数据-汇总表'!D3)</f>
        <v>204.38</v>
      </c>
      <c r="F65" s="643"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4"/>
      <c r="K66" s="885"/>
      <c r="L66" s="886"/>
      <c r="M66" s="924"/>
      <c r="N66" s="924"/>
      <c r="O66" s="924"/>
      <c r="P66" s="2722"/>
      <c r="Q66" s="2722"/>
      <c r="R66" s="2722"/>
      <c r="S66" s="2722"/>
      <c r="T66" s="2722"/>
      <c r="U66" s="2722"/>
      <c r="V66" s="2722"/>
      <c r="W66" s="2722"/>
      <c r="X66" s="2722"/>
      <c r="Y66" s="2722"/>
      <c r="Z66" s="2722"/>
      <c r="AA66" s="2722"/>
      <c r="AB66" s="2722"/>
      <c r="AC66" s="2722"/>
    </row>
    <row r="67" spans="1:29">
      <c r="A67" s="688"/>
      <c r="B67" s="690"/>
      <c r="C67" s="690" t="str">
        <f>YEAR(C7)&amp;"-"&amp;MONTH(C7)&amp;"-1"</f>
        <v>2022-12-1</v>
      </c>
      <c r="D67" s="690">
        <f>EDATE(C67,-3)</f>
        <v>44805</v>
      </c>
      <c r="E67" s="690">
        <f>EDATE(D67,-3)</f>
        <v>44713</v>
      </c>
      <c r="F67" s="690">
        <f t="shared" ref="F67:O67" si="18">EDATE(E67,-3)</f>
        <v>44621</v>
      </c>
      <c r="G67" s="690">
        <f t="shared" si="18"/>
        <v>44531</v>
      </c>
      <c r="H67" s="690">
        <f t="shared" si="18"/>
        <v>44440</v>
      </c>
      <c r="I67" s="690">
        <f t="shared" si="18"/>
        <v>44348</v>
      </c>
      <c r="J67" s="690">
        <f t="shared" si="18"/>
        <v>44256</v>
      </c>
      <c r="K67" s="690">
        <f t="shared" si="18"/>
        <v>44166</v>
      </c>
      <c r="L67" s="690">
        <f t="shared" si="18"/>
        <v>44075</v>
      </c>
      <c r="M67" s="690">
        <f t="shared" si="18"/>
        <v>43983</v>
      </c>
      <c r="N67" s="690">
        <f t="shared" si="18"/>
        <v>43891</v>
      </c>
      <c r="O67" s="690">
        <f t="shared" si="18"/>
        <v>43800</v>
      </c>
      <c r="P67" s="2722"/>
      <c r="Q67" s="2722"/>
      <c r="R67" s="2722"/>
      <c r="S67" s="2722"/>
      <c r="T67" s="2722"/>
      <c r="U67" s="2722"/>
      <c r="V67" s="2722"/>
      <c r="W67" s="2722"/>
      <c r="X67" s="2722"/>
      <c r="Y67" s="2722"/>
      <c r="Z67" s="2722"/>
      <c r="AA67" s="2722"/>
      <c r="AB67" s="2722"/>
      <c r="AC67" s="2722"/>
    </row>
    <row r="68" spans="1:29" ht="22.2" thickBot="1">
      <c r="A68" s="692" t="s">
        <v>1798</v>
      </c>
      <c r="B68" s="688"/>
      <c r="C68" s="693"/>
      <c r="D68" s="693"/>
      <c r="E68" s="693"/>
      <c r="F68" s="694"/>
      <c r="G68" s="694"/>
      <c r="H68" s="693"/>
      <c r="I68" s="693"/>
      <c r="J68" s="937"/>
      <c r="K68" s="938"/>
      <c r="L68" s="939"/>
      <c r="M68" s="937"/>
      <c r="N68" s="2766"/>
      <c r="O68" s="2766"/>
      <c r="P68" s="2766"/>
      <c r="Q68" s="2736"/>
      <c r="R68" s="2722"/>
      <c r="S68" s="2722"/>
      <c r="T68" s="2722"/>
      <c r="U68" s="2722"/>
      <c r="V68" s="2722"/>
      <c r="W68" s="2722"/>
      <c r="X68" s="2722"/>
      <c r="Y68" s="2722"/>
      <c r="Z68" s="2722"/>
      <c r="AA68" s="2722"/>
      <c r="AB68" s="2722"/>
      <c r="AC68" s="2722"/>
    </row>
    <row r="69" spans="1:29" s="455" customFormat="1" ht="14.4">
      <c r="A69" s="1986" t="s">
        <v>1904</v>
      </c>
      <c r="B69" s="1106"/>
      <c r="C69" s="1179" t="str">
        <f>YEAR(C67)&amp;"-"&amp;ROUNDUP(MONTH(C67)/3,0)</f>
        <v>2022-4</v>
      </c>
      <c r="D69" s="1179" t="str">
        <f>YEAR(D67)&amp;"-"&amp;ROUNDUP(MONTH(D67)/3,0)</f>
        <v>2022-3</v>
      </c>
      <c r="E69" s="1179" t="str">
        <f t="shared" ref="E69:O69" si="19">YEAR(E67)&amp;"-"&amp;ROUNDUP(MONTH(E67)/3,0)</f>
        <v>2022-2</v>
      </c>
      <c r="F69" s="1179" t="str">
        <f t="shared" si="19"/>
        <v>2022-1</v>
      </c>
      <c r="G69" s="1179" t="str">
        <f t="shared" si="19"/>
        <v>2021-4</v>
      </c>
      <c r="H69" s="1179" t="str">
        <f t="shared" si="19"/>
        <v>2021-3</v>
      </c>
      <c r="I69" s="1179" t="str">
        <f t="shared" si="19"/>
        <v>2021-2</v>
      </c>
      <c r="J69" s="1179" t="str">
        <f t="shared" si="19"/>
        <v>2021-1</v>
      </c>
      <c r="K69" s="1179" t="str">
        <f t="shared" si="19"/>
        <v>2020-4</v>
      </c>
      <c r="L69" s="1179" t="str">
        <f t="shared" si="19"/>
        <v>2020-3</v>
      </c>
      <c r="M69" s="1179" t="str">
        <f t="shared" si="19"/>
        <v>2020-2</v>
      </c>
      <c r="N69" s="1179" t="str">
        <f t="shared" si="19"/>
        <v>2020-1</v>
      </c>
      <c r="O69" s="1179" t="str">
        <f t="shared" si="19"/>
        <v>2019-4</v>
      </c>
      <c r="P69" s="2773"/>
      <c r="Q69" s="2738"/>
      <c r="R69" s="2738"/>
      <c r="S69" s="2738"/>
      <c r="T69" s="2738"/>
      <c r="U69" s="2738"/>
      <c r="V69" s="2738"/>
      <c r="W69" s="2738"/>
      <c r="X69" s="2738"/>
      <c r="Y69" s="2738"/>
      <c r="Z69" s="2738"/>
      <c r="AA69" s="2738"/>
      <c r="AB69" s="2738"/>
      <c r="AC69" s="2738"/>
    </row>
    <row r="70" spans="1:29" s="107" customFormat="1" ht="30" customHeight="1">
      <c r="A70" s="1987" t="s">
        <v>1905</v>
      </c>
      <c r="B70" s="286" t="str">
        <f>"北京市平均增长率"&amp;TEXT(SUMIF(基准地价修正!N25:N29,A70,基准地价修正!P25:P29),"0.00%")</f>
        <v>北京市平均增长率1.66%</v>
      </c>
      <c r="C70" s="550">
        <v>100</v>
      </c>
      <c r="D70" s="542"/>
      <c r="E70" s="542"/>
      <c r="F70" s="542"/>
      <c r="G70" s="542"/>
      <c r="H70" s="542"/>
      <c r="I70" s="542"/>
      <c r="J70" s="542"/>
      <c r="K70" s="542"/>
      <c r="L70" s="542"/>
      <c r="M70" s="1175"/>
      <c r="N70" s="542"/>
      <c r="O70" s="1176"/>
      <c r="P70" s="2736"/>
      <c r="Q70" s="2658"/>
      <c r="R70" s="2658"/>
      <c r="S70" s="2658"/>
      <c r="T70" s="2658"/>
      <c r="U70" s="2658"/>
      <c r="V70" s="2658"/>
      <c r="W70" s="2658"/>
      <c r="X70" s="2658"/>
      <c r="Y70" s="2658"/>
      <c r="Z70" s="2658"/>
      <c r="AA70" s="2658"/>
      <c r="AB70" s="2658"/>
      <c r="AC70" s="2658"/>
    </row>
    <row r="71" spans="1:29" s="107" customFormat="1" ht="15" thickBot="1">
      <c r="A71" s="462" t="s">
        <v>1716</v>
      </c>
      <c r="B71" s="463"/>
      <c r="C71" s="464"/>
      <c r="D71" s="465"/>
      <c r="E71" s="465"/>
      <c r="F71" s="465"/>
      <c r="G71" s="465"/>
      <c r="H71" s="465"/>
      <c r="I71" s="465"/>
      <c r="J71" s="465"/>
      <c r="K71" s="465"/>
      <c r="L71" s="465"/>
      <c r="M71" s="466"/>
      <c r="N71" s="465"/>
      <c r="O71" s="940"/>
      <c r="P71" s="2736"/>
      <c r="Q71" s="2736"/>
      <c r="R71" s="2658"/>
      <c r="S71" s="2658"/>
      <c r="T71" s="2658"/>
      <c r="U71" s="2658"/>
      <c r="V71" s="2658"/>
      <c r="W71" s="2658"/>
      <c r="X71" s="2658"/>
      <c r="Y71" s="2658"/>
      <c r="Z71" s="2658"/>
      <c r="AA71" s="2658"/>
      <c r="AB71" s="2658"/>
      <c r="AC71" s="2658"/>
    </row>
    <row r="72" spans="1:29" s="107" customFormat="1" ht="14.4">
      <c r="A72" s="468" t="s">
        <v>1681</v>
      </c>
      <c r="B72" s="457"/>
      <c r="C72" s="469" t="s">
        <v>1776</v>
      </c>
      <c r="D72" s="470"/>
      <c r="E72" s="470"/>
      <c r="F72" s="470"/>
      <c r="G72" s="470"/>
      <c r="H72" s="470"/>
      <c r="I72" s="470"/>
      <c r="J72" s="470"/>
      <c r="K72" s="470"/>
      <c r="L72" s="471"/>
      <c r="M72" s="472"/>
      <c r="N72" s="2749"/>
      <c r="O72" s="2749"/>
      <c r="P72" s="2774"/>
      <c r="Q72" s="2736"/>
      <c r="R72" s="2658"/>
      <c r="S72" s="2658"/>
      <c r="T72" s="2658"/>
      <c r="U72" s="2658"/>
      <c r="V72" s="2658"/>
      <c r="W72" s="2658"/>
      <c r="X72" s="2658"/>
      <c r="Y72" s="2658"/>
      <c r="Z72" s="2658"/>
      <c r="AA72" s="2658"/>
      <c r="AB72" s="2658"/>
      <c r="AC72" s="2658"/>
    </row>
    <row r="73" spans="1:29" s="107" customFormat="1" ht="14.4" thickBot="1">
      <c r="A73" s="468"/>
      <c r="B73" s="457"/>
      <c r="C73" s="585">
        <v>100</v>
      </c>
      <c r="D73" s="459"/>
      <c r="E73" s="459"/>
      <c r="F73" s="459"/>
      <c r="G73" s="459"/>
      <c r="H73" s="459"/>
      <c r="I73" s="459"/>
      <c r="J73" s="459"/>
      <c r="K73" s="459"/>
      <c r="L73" s="459"/>
      <c r="M73" s="461"/>
      <c r="N73" s="2749"/>
      <c r="O73" s="2749"/>
      <c r="P73" s="2736"/>
      <c r="Q73" s="2736"/>
      <c r="R73" s="2658"/>
      <c r="S73" s="2658"/>
      <c r="T73" s="2658"/>
      <c r="U73" s="2658"/>
      <c r="V73" s="2658"/>
      <c r="W73" s="2658"/>
      <c r="X73" s="2658"/>
      <c r="Y73" s="2658"/>
      <c r="Z73" s="2658"/>
      <c r="AA73" s="2658"/>
      <c r="AB73" s="2658"/>
      <c r="AC73" s="2658"/>
    </row>
    <row r="74" spans="1:29" ht="14.4">
      <c r="A74" s="474" t="s">
        <v>1719</v>
      </c>
      <c r="B74" s="475" t="s">
        <v>1685</v>
      </c>
      <c r="C74" s="477"/>
      <c r="D74" s="477"/>
      <c r="E74" s="477"/>
      <c r="F74" s="477"/>
      <c r="G74" s="477"/>
      <c r="H74" s="477"/>
      <c r="I74" s="477"/>
      <c r="J74" s="477"/>
      <c r="K74" s="478"/>
      <c r="L74" s="479"/>
      <c r="M74" s="480"/>
      <c r="N74" s="2750"/>
      <c r="O74" s="2750"/>
      <c r="P74" s="2775"/>
      <c r="Q74" s="2736"/>
      <c r="R74" s="2722"/>
      <c r="S74" s="2722"/>
      <c r="T74" s="2722"/>
      <c r="U74" s="2722"/>
      <c r="V74" s="2722"/>
      <c r="W74" s="2722"/>
      <c r="X74" s="2722"/>
      <c r="Y74" s="2722"/>
      <c r="Z74" s="2722"/>
      <c r="AA74" s="2722"/>
      <c r="AB74" s="2722"/>
      <c r="AC74" s="2722"/>
    </row>
    <row r="75" spans="1:29" ht="14.4" thickBot="1">
      <c r="A75" s="481"/>
      <c r="B75" s="482"/>
      <c r="C75" s="483"/>
      <c r="D75" s="483"/>
      <c r="E75" s="483"/>
      <c r="F75" s="483"/>
      <c r="G75" s="483"/>
      <c r="H75" s="483"/>
      <c r="I75" s="483"/>
      <c r="J75" s="483"/>
      <c r="K75" s="483"/>
      <c r="L75" s="483"/>
      <c r="M75" s="484"/>
      <c r="N75" s="2751"/>
      <c r="O75" s="2751"/>
      <c r="P75" s="2775"/>
      <c r="Q75" s="2736"/>
      <c r="R75" s="2722"/>
      <c r="S75" s="2722"/>
      <c r="T75" s="2722"/>
      <c r="U75" s="2722"/>
      <c r="V75" s="2722"/>
      <c r="W75" s="2722"/>
      <c r="X75" s="2722"/>
      <c r="Y75" s="2722"/>
      <c r="Z75" s="2722"/>
      <c r="AA75" s="2722"/>
      <c r="AB75" s="2722"/>
      <c r="AC75" s="2722"/>
    </row>
    <row r="76" spans="1:29" ht="29.4" thickTop="1">
      <c r="A76" s="481"/>
      <c r="B76" s="485" t="s">
        <v>1688</v>
      </c>
      <c r="C76" s="486"/>
      <c r="D76" s="486"/>
      <c r="E76" s="486"/>
      <c r="F76" s="486"/>
      <c r="G76" s="486"/>
      <c r="H76" s="486"/>
      <c r="I76" s="486"/>
      <c r="J76" s="486"/>
      <c r="K76" s="487"/>
      <c r="L76" s="488"/>
      <c r="M76" s="489"/>
      <c r="N76" s="2750"/>
      <c r="O76" s="2750"/>
      <c r="P76" s="2775"/>
      <c r="Q76" s="2736"/>
      <c r="R76" s="2722"/>
      <c r="S76" s="2722"/>
      <c r="T76" s="2722"/>
      <c r="U76" s="2722"/>
      <c r="V76" s="2722"/>
      <c r="W76" s="2722"/>
      <c r="X76" s="2722"/>
      <c r="Y76" s="2722"/>
      <c r="Z76" s="2722"/>
      <c r="AA76" s="2722"/>
      <c r="AB76" s="2722"/>
      <c r="AC76" s="2722"/>
    </row>
    <row r="77" spans="1:29" ht="14.4" thickBot="1">
      <c r="A77" s="481"/>
      <c r="B77" s="490"/>
      <c r="C77" s="491"/>
      <c r="D77" s="491"/>
      <c r="E77" s="491"/>
      <c r="F77" s="491"/>
      <c r="G77" s="491"/>
      <c r="H77" s="491"/>
      <c r="I77" s="491"/>
      <c r="J77" s="491"/>
      <c r="K77" s="491"/>
      <c r="L77" s="491"/>
      <c r="M77" s="492"/>
      <c r="N77" s="2751"/>
      <c r="O77" s="2751"/>
      <c r="P77" s="2775"/>
      <c r="Q77" s="2736"/>
      <c r="R77" s="2722"/>
      <c r="S77" s="2722"/>
      <c r="T77" s="2722"/>
      <c r="U77" s="2722"/>
      <c r="V77" s="2722"/>
      <c r="W77" s="2722"/>
      <c r="X77" s="2722"/>
      <c r="Y77" s="2722"/>
      <c r="Z77" s="2722"/>
      <c r="AA77" s="2722"/>
      <c r="AB77" s="2722"/>
      <c r="AC77" s="2722"/>
    </row>
    <row r="78" spans="1:29" ht="1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51"/>
      <c r="O78" s="2751"/>
      <c r="P78" s="2775"/>
      <c r="Q78" s="2736"/>
      <c r="R78" s="2722"/>
      <c r="S78" s="2722"/>
      <c r="T78" s="2722"/>
      <c r="U78" s="2722"/>
      <c r="V78" s="2722"/>
      <c r="W78" s="2722"/>
      <c r="X78" s="2722"/>
      <c r="Y78" s="2722"/>
      <c r="Z78" s="2722"/>
      <c r="AA78" s="2722"/>
      <c r="AB78" s="2722"/>
      <c r="AC78" s="2722"/>
    </row>
    <row r="79" spans="1:29">
      <c r="A79" s="481"/>
      <c r="B79" s="495"/>
      <c r="C79" s="496"/>
      <c r="D79" s="496"/>
      <c r="E79" s="496"/>
      <c r="F79" s="496"/>
      <c r="G79" s="496"/>
      <c r="H79" s="496"/>
      <c r="I79" s="496"/>
      <c r="J79" s="496"/>
      <c r="K79" s="497"/>
      <c r="L79" s="498"/>
      <c r="M79" s="499"/>
      <c r="N79" s="2750"/>
      <c r="O79" s="2750"/>
      <c r="P79" s="2775"/>
      <c r="Q79" s="2736"/>
      <c r="R79" s="2722"/>
      <c r="S79" s="2722"/>
      <c r="T79" s="2722"/>
      <c r="U79" s="2722"/>
      <c r="V79" s="2722"/>
      <c r="W79" s="2722"/>
      <c r="X79" s="2722"/>
      <c r="Y79" s="2722"/>
      <c r="Z79" s="2722"/>
      <c r="AA79" s="2722"/>
      <c r="AB79" s="2722"/>
      <c r="AC79" s="2722"/>
    </row>
    <row r="80" spans="1:29" ht="14.4"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51"/>
      <c r="O80" s="2751"/>
      <c r="P80" s="2775"/>
      <c r="Q80" s="2736"/>
      <c r="R80" s="2722"/>
      <c r="S80" s="2722"/>
      <c r="T80" s="2722"/>
      <c r="U80" s="2722"/>
      <c r="V80" s="2722"/>
      <c r="W80" s="2722"/>
      <c r="X80" s="2722"/>
      <c r="Y80" s="2722"/>
      <c r="Z80" s="2722"/>
      <c r="AA80" s="2722"/>
      <c r="AB80" s="2722"/>
      <c r="AC80" s="2722"/>
    </row>
    <row r="81" spans="1:29" s="420" customFormat="1" ht="14.4" thickTop="1">
      <c r="A81" s="500"/>
      <c r="B81" s="485" t="str">
        <f>B12</f>
        <v>配建</v>
      </c>
      <c r="C81" s="501"/>
      <c r="D81" s="501"/>
      <c r="E81" s="501"/>
      <c r="F81" s="501"/>
      <c r="G81" s="501"/>
      <c r="H81" s="502"/>
      <c r="I81" s="502"/>
      <c r="J81" s="502"/>
      <c r="K81" s="502"/>
      <c r="L81" s="503"/>
      <c r="M81" s="504"/>
      <c r="N81" s="2752"/>
      <c r="O81" s="2752"/>
      <c r="P81" s="2776"/>
      <c r="Q81" s="2743"/>
      <c r="R81" s="2744"/>
      <c r="S81" s="2744"/>
      <c r="T81" s="2744"/>
      <c r="U81" s="2744"/>
      <c r="V81" s="2744"/>
      <c r="W81" s="2744"/>
      <c r="X81" s="2744"/>
      <c r="Y81" s="2744"/>
      <c r="Z81" s="2744"/>
      <c r="AA81" s="2744"/>
      <c r="AB81" s="2744"/>
      <c r="AC81" s="2744"/>
    </row>
    <row r="82" spans="1:29" s="420" customFormat="1" ht="14.4" thickBot="1">
      <c r="A82" s="500"/>
      <c r="B82" s="490"/>
      <c r="C82" s="507"/>
      <c r="D82" s="483"/>
      <c r="E82" s="483"/>
      <c r="F82" s="483"/>
      <c r="G82" s="483"/>
      <c r="H82" s="483"/>
      <c r="I82" s="483"/>
      <c r="J82" s="483"/>
      <c r="K82" s="483"/>
      <c r="L82" s="483"/>
      <c r="M82" s="484"/>
      <c r="N82" s="2751"/>
      <c r="O82" s="2751"/>
      <c r="P82" s="2776"/>
      <c r="Q82" s="2743"/>
      <c r="R82" s="2744"/>
      <c r="S82" s="2744"/>
      <c r="T82" s="2744"/>
      <c r="U82" s="2744"/>
      <c r="V82" s="2744"/>
      <c r="W82" s="2744"/>
      <c r="X82" s="2744"/>
      <c r="Y82" s="2744"/>
      <c r="Z82" s="2744"/>
      <c r="AA82" s="2744"/>
      <c r="AB82" s="2744"/>
      <c r="AC82" s="2744"/>
    </row>
    <row r="83" spans="1:29" s="420" customFormat="1" ht="14.4" thickTop="1">
      <c r="A83" s="500"/>
      <c r="B83" s="485">
        <f>B13</f>
        <v>111</v>
      </c>
      <c r="C83" s="501"/>
      <c r="D83" s="501"/>
      <c r="E83" s="501"/>
      <c r="F83" s="501"/>
      <c r="G83" s="501"/>
      <c r="H83" s="502"/>
      <c r="I83" s="502"/>
      <c r="J83" s="502"/>
      <c r="K83" s="502"/>
      <c r="L83" s="503"/>
      <c r="M83" s="504"/>
      <c r="N83" s="2752"/>
      <c r="O83" s="2752"/>
      <c r="P83" s="2720"/>
      <c r="Q83" s="2746"/>
      <c r="R83" s="2744"/>
      <c r="S83" s="2744"/>
      <c r="T83" s="2744"/>
      <c r="U83" s="2744"/>
      <c r="V83" s="2744"/>
      <c r="W83" s="2744"/>
      <c r="X83" s="2744"/>
      <c r="Y83" s="2744"/>
      <c r="Z83" s="2744"/>
      <c r="AA83" s="2744"/>
      <c r="AB83" s="2744"/>
      <c r="AC83" s="2744"/>
    </row>
    <row r="84" spans="1:29" s="420" customFormat="1" ht="14.4" thickBot="1">
      <c r="A84" s="500"/>
      <c r="B84" s="490"/>
      <c r="C84" s="507"/>
      <c r="D84" s="507"/>
      <c r="E84" s="507"/>
      <c r="F84" s="507"/>
      <c r="G84" s="507"/>
      <c r="H84" s="509"/>
      <c r="I84" s="509"/>
      <c r="J84" s="509"/>
      <c r="K84" s="509"/>
      <c r="L84" s="509"/>
      <c r="M84" s="510"/>
      <c r="N84" s="2752"/>
      <c r="O84" s="2752"/>
      <c r="P84" s="2776"/>
      <c r="Q84" s="2743"/>
      <c r="R84" s="2744"/>
      <c r="S84" s="2744"/>
      <c r="T84" s="2744"/>
      <c r="U84" s="2744"/>
      <c r="V84" s="2744"/>
      <c r="W84" s="2744"/>
      <c r="X84" s="2744"/>
      <c r="Y84" s="2744"/>
      <c r="Z84" s="2744"/>
      <c r="AA84" s="2744"/>
      <c r="AB84" s="2744"/>
      <c r="AC84" s="2744"/>
    </row>
    <row r="85" spans="1:29" s="420" customFormat="1" ht="14.4" thickTop="1">
      <c r="A85" s="500"/>
      <c r="B85" s="493">
        <f>B14</f>
        <v>111</v>
      </c>
      <c r="C85" s="470"/>
      <c r="D85" s="470"/>
      <c r="E85" s="470"/>
      <c r="F85" s="470"/>
      <c r="G85" s="470"/>
      <c r="H85" s="511"/>
      <c r="I85" s="511"/>
      <c r="J85" s="511"/>
      <c r="K85" s="511"/>
      <c r="L85" s="512"/>
      <c r="M85" s="513"/>
      <c r="N85" s="2752"/>
      <c r="O85" s="2752"/>
      <c r="P85" s="2781"/>
      <c r="Q85" s="2743"/>
      <c r="R85" s="2744"/>
      <c r="S85" s="2744"/>
      <c r="T85" s="2744"/>
      <c r="U85" s="2744"/>
      <c r="V85" s="2744"/>
      <c r="W85" s="2744"/>
      <c r="X85" s="2744"/>
      <c r="Y85" s="2744"/>
      <c r="Z85" s="2744"/>
      <c r="AA85" s="2744"/>
      <c r="AB85" s="2744"/>
      <c r="AC85" s="2744"/>
    </row>
    <row r="86" spans="1:29" s="420" customFormat="1" ht="14.4" thickBot="1">
      <c r="A86" s="515"/>
      <c r="B86" s="516"/>
      <c r="C86" s="517"/>
      <c r="D86" s="517"/>
      <c r="E86" s="517"/>
      <c r="F86" s="517"/>
      <c r="G86" s="517"/>
      <c r="H86" s="518"/>
      <c r="I86" s="518"/>
      <c r="J86" s="518"/>
      <c r="K86" s="518"/>
      <c r="L86" s="518"/>
      <c r="M86" s="519"/>
      <c r="N86" s="2752"/>
      <c r="O86" s="2752"/>
      <c r="P86" s="2776"/>
      <c r="Q86" s="2743"/>
      <c r="R86" s="2744"/>
      <c r="S86" s="2744"/>
      <c r="T86" s="2744"/>
      <c r="U86" s="2744"/>
      <c r="V86" s="2744"/>
      <c r="W86" s="2744"/>
      <c r="X86" s="2744"/>
      <c r="Y86" s="2744"/>
      <c r="Z86" s="2744"/>
      <c r="AA86" s="2744"/>
      <c r="AB86" s="2744"/>
      <c r="AC86" s="2744"/>
    </row>
    <row r="87" spans="1:29" ht="14.4">
      <c r="A87" s="474" t="s">
        <v>1690</v>
      </c>
      <c r="B87" s="475" t="s">
        <v>1720</v>
      </c>
      <c r="C87" s="520" t="s">
        <v>1721</v>
      </c>
      <c r="D87" s="520" t="s">
        <v>1722</v>
      </c>
      <c r="E87" s="520" t="s">
        <v>1723</v>
      </c>
      <c r="F87" s="520" t="s">
        <v>1724</v>
      </c>
      <c r="G87" s="520" t="s">
        <v>1725</v>
      </c>
      <c r="H87" s="476"/>
      <c r="I87" s="476"/>
      <c r="J87" s="476"/>
      <c r="K87" s="521"/>
      <c r="L87" s="522"/>
      <c r="M87" s="523"/>
      <c r="N87" s="2750"/>
      <c r="O87" s="2750"/>
      <c r="P87" s="2777"/>
      <c r="Q87" s="2736"/>
      <c r="R87" s="2722"/>
      <c r="S87" s="2722"/>
      <c r="T87" s="2722"/>
      <c r="U87" s="2722"/>
      <c r="V87" s="2722"/>
      <c r="W87" s="2722"/>
      <c r="X87" s="2722"/>
      <c r="Y87" s="2722"/>
      <c r="Z87" s="2722"/>
      <c r="AA87" s="2722"/>
      <c r="AB87" s="2722"/>
      <c r="AC87" s="2722"/>
    </row>
    <row r="88" spans="1:29" ht="14.4" thickBot="1">
      <c r="A88" s="481"/>
      <c r="B88" s="490"/>
      <c r="C88" s="491">
        <v>100</v>
      </c>
      <c r="D88" s="491">
        <f>C88-$K15</f>
        <v>100</v>
      </c>
      <c r="E88" s="491">
        <f>D88-$K15</f>
        <v>100</v>
      </c>
      <c r="F88" s="491">
        <f>E88-$K15</f>
        <v>100</v>
      </c>
      <c r="G88" s="491">
        <f>F88-$K15</f>
        <v>100</v>
      </c>
      <c r="H88" s="491"/>
      <c r="I88" s="491"/>
      <c r="J88" s="491"/>
      <c r="K88" s="491"/>
      <c r="L88" s="491"/>
      <c r="M88" s="492"/>
      <c r="N88" s="2751"/>
      <c r="O88" s="2751"/>
      <c r="P88" s="2775"/>
      <c r="Q88" s="2736"/>
      <c r="R88" s="2722"/>
      <c r="S88" s="2722"/>
      <c r="T88" s="2722"/>
      <c r="U88" s="2722"/>
      <c r="V88" s="2722"/>
      <c r="W88" s="2722"/>
      <c r="X88" s="2722"/>
      <c r="Y88" s="2722"/>
      <c r="Z88" s="2722"/>
      <c r="AA88" s="2722"/>
      <c r="AB88" s="2722"/>
      <c r="AC88" s="2722"/>
    </row>
    <row r="89" spans="1:29" ht="15" thickTop="1">
      <c r="A89" s="481"/>
      <c r="B89" s="485" t="s">
        <v>1906</v>
      </c>
      <c r="C89" s="525" t="s">
        <v>1721</v>
      </c>
      <c r="D89" s="525" t="s">
        <v>1722</v>
      </c>
      <c r="E89" s="525" t="s">
        <v>1723</v>
      </c>
      <c r="F89" s="525" t="s">
        <v>1724</v>
      </c>
      <c r="G89" s="525" t="s">
        <v>1725</v>
      </c>
      <c r="H89" s="486"/>
      <c r="I89" s="486"/>
      <c r="J89" s="486"/>
      <c r="K89" s="487"/>
      <c r="L89" s="488"/>
      <c r="M89" s="489"/>
      <c r="N89" s="2750"/>
      <c r="O89" s="2750"/>
      <c r="P89" s="2775"/>
      <c r="Q89" s="2736"/>
      <c r="R89" s="2722"/>
      <c r="S89" s="2722"/>
      <c r="T89" s="2722"/>
      <c r="U89" s="2722"/>
      <c r="V89" s="2722"/>
      <c r="W89" s="2722"/>
      <c r="X89" s="2722"/>
      <c r="Y89" s="2722"/>
      <c r="Z89" s="2722"/>
      <c r="AA89" s="2722"/>
      <c r="AB89" s="2722"/>
      <c r="AC89" s="2722"/>
    </row>
    <row r="90" spans="1:29" ht="14.4" thickBot="1">
      <c r="A90" s="481"/>
      <c r="B90" s="490"/>
      <c r="C90" s="491">
        <v>100</v>
      </c>
      <c r="D90" s="491">
        <f>C90-$K17</f>
        <v>100</v>
      </c>
      <c r="E90" s="491">
        <f>D90-$K17</f>
        <v>100</v>
      </c>
      <c r="F90" s="491">
        <f>E90-$K17</f>
        <v>100</v>
      </c>
      <c r="G90" s="491">
        <f>F90-$K17</f>
        <v>100</v>
      </c>
      <c r="H90" s="491"/>
      <c r="I90" s="491"/>
      <c r="J90" s="491"/>
      <c r="K90" s="491"/>
      <c r="L90" s="491"/>
      <c r="M90" s="492"/>
      <c r="N90" s="2751"/>
      <c r="O90" s="2751"/>
      <c r="P90" s="2775"/>
      <c r="Q90" s="2736"/>
      <c r="R90" s="2722"/>
      <c r="S90" s="2722"/>
      <c r="T90" s="2722"/>
      <c r="U90" s="2722"/>
      <c r="V90" s="2722"/>
      <c r="W90" s="2722"/>
      <c r="X90" s="2722"/>
      <c r="Y90" s="2722"/>
      <c r="Z90" s="2722"/>
      <c r="AA90" s="2722"/>
      <c r="AB90" s="2722"/>
      <c r="AC90" s="2722"/>
    </row>
    <row r="91" spans="1:29" ht="15" thickTop="1">
      <c r="A91" s="481"/>
      <c r="B91" s="485" t="s">
        <v>1821</v>
      </c>
      <c r="C91" s="525" t="s">
        <v>1721</v>
      </c>
      <c r="D91" s="525" t="s">
        <v>1722</v>
      </c>
      <c r="E91" s="525" t="s">
        <v>1723</v>
      </c>
      <c r="F91" s="525" t="s">
        <v>1724</v>
      </c>
      <c r="G91" s="525" t="s">
        <v>1725</v>
      </c>
      <c r="H91" s="486"/>
      <c r="I91" s="486"/>
      <c r="J91" s="486"/>
      <c r="K91" s="487"/>
      <c r="L91" s="488"/>
      <c r="M91" s="489"/>
      <c r="N91" s="2750"/>
      <c r="O91" s="2750"/>
      <c r="P91" s="2775"/>
      <c r="Q91" s="2736"/>
      <c r="R91" s="2722"/>
      <c r="S91" s="2722"/>
      <c r="T91" s="2722"/>
      <c r="U91" s="2722"/>
      <c r="V91" s="2722"/>
      <c r="W91" s="2722"/>
      <c r="X91" s="2722"/>
      <c r="Y91" s="2722"/>
      <c r="Z91" s="2722"/>
      <c r="AA91" s="2722"/>
      <c r="AB91" s="2722"/>
      <c r="AC91" s="2722"/>
    </row>
    <row r="92" spans="1:29" ht="14.4" thickBot="1">
      <c r="A92" s="481"/>
      <c r="B92" s="490"/>
      <c r="C92" s="491">
        <v>100</v>
      </c>
      <c r="D92" s="491">
        <f>C92-$K19</f>
        <v>100</v>
      </c>
      <c r="E92" s="491">
        <f>D92-$K19</f>
        <v>100</v>
      </c>
      <c r="F92" s="491">
        <f>E92-$K19</f>
        <v>100</v>
      </c>
      <c r="G92" s="491">
        <f>F92-$K19</f>
        <v>100</v>
      </c>
      <c r="H92" s="491"/>
      <c r="I92" s="491"/>
      <c r="J92" s="491"/>
      <c r="K92" s="491"/>
      <c r="L92" s="491"/>
      <c r="M92" s="492"/>
      <c r="N92" s="2751"/>
      <c r="O92" s="2751"/>
      <c r="P92" s="2775"/>
      <c r="Q92" s="2736"/>
      <c r="R92" s="2722"/>
      <c r="S92" s="2722"/>
      <c r="T92" s="2722"/>
      <c r="U92" s="2722"/>
      <c r="V92" s="2722"/>
      <c r="W92" s="2722"/>
      <c r="X92" s="2722"/>
      <c r="Y92" s="2722"/>
      <c r="Z92" s="2722"/>
      <c r="AA92" s="2722"/>
      <c r="AB92" s="2722"/>
      <c r="AC92" s="2722"/>
    </row>
    <row r="93" spans="1:29" ht="15" thickTop="1">
      <c r="A93" s="481"/>
      <c r="B93" s="485" t="s">
        <v>1726</v>
      </c>
      <c r="C93" s="525" t="s">
        <v>1721</v>
      </c>
      <c r="D93" s="525" t="s">
        <v>1722</v>
      </c>
      <c r="E93" s="525" t="s">
        <v>1723</v>
      </c>
      <c r="F93" s="525" t="s">
        <v>1724</v>
      </c>
      <c r="G93" s="525" t="s">
        <v>1725</v>
      </c>
      <c r="H93" s="486"/>
      <c r="I93" s="486"/>
      <c r="J93" s="486"/>
      <c r="K93" s="487"/>
      <c r="L93" s="488"/>
      <c r="M93" s="489"/>
      <c r="N93" s="2750"/>
      <c r="O93" s="2750"/>
      <c r="P93" s="2775"/>
      <c r="Q93" s="2736"/>
      <c r="R93" s="2722"/>
      <c r="S93" s="2722"/>
      <c r="T93" s="2722"/>
      <c r="U93" s="2722"/>
      <c r="V93" s="2722"/>
      <c r="W93" s="2722"/>
      <c r="X93" s="2722"/>
      <c r="Y93" s="2722"/>
      <c r="Z93" s="2722"/>
      <c r="AA93" s="2722"/>
      <c r="AB93" s="2722"/>
      <c r="AC93" s="2722"/>
    </row>
    <row r="94" spans="1:29" ht="14.4" thickBot="1">
      <c r="A94" s="481"/>
      <c r="B94" s="490"/>
      <c r="C94" s="491">
        <v>100</v>
      </c>
      <c r="D94" s="491">
        <f>C94-$K21</f>
        <v>100</v>
      </c>
      <c r="E94" s="491">
        <f>D94-$K21</f>
        <v>100</v>
      </c>
      <c r="F94" s="491">
        <f>E94-$K21</f>
        <v>100</v>
      </c>
      <c r="G94" s="491">
        <f>F94-$K21</f>
        <v>100</v>
      </c>
      <c r="H94" s="491"/>
      <c r="I94" s="491"/>
      <c r="J94" s="491"/>
      <c r="K94" s="491"/>
      <c r="L94" s="491"/>
      <c r="M94" s="492"/>
      <c r="N94" s="2751"/>
      <c r="O94" s="2751"/>
      <c r="P94" s="2775"/>
      <c r="Q94" s="2736"/>
      <c r="R94" s="2722"/>
      <c r="S94" s="2722"/>
      <c r="T94" s="2722"/>
      <c r="U94" s="2722"/>
      <c r="V94" s="2722"/>
      <c r="W94" s="2722"/>
      <c r="X94" s="2722"/>
      <c r="Y94" s="2722"/>
      <c r="Z94" s="2722"/>
      <c r="AA94" s="2722"/>
      <c r="AB94" s="2722"/>
      <c r="AC94" s="2722"/>
    </row>
    <row r="95" spans="1:29" s="107" customFormat="1" ht="29.4" thickTop="1">
      <c r="A95" s="526"/>
      <c r="B95" s="485" t="s">
        <v>1907</v>
      </c>
      <c r="C95" s="525" t="s">
        <v>1721</v>
      </c>
      <c r="D95" s="525" t="s">
        <v>1722</v>
      </c>
      <c r="E95" s="525" t="s">
        <v>1723</v>
      </c>
      <c r="F95" s="525" t="s">
        <v>1724</v>
      </c>
      <c r="G95" s="525" t="s">
        <v>1725</v>
      </c>
      <c r="H95" s="525"/>
      <c r="I95" s="525"/>
      <c r="J95" s="525"/>
      <c r="K95" s="525"/>
      <c r="L95" s="644"/>
      <c r="M95" s="568"/>
      <c r="N95" s="2749"/>
      <c r="O95" s="2749"/>
      <c r="P95" s="2775"/>
      <c r="Q95" s="2736"/>
      <c r="R95" s="2658"/>
      <c r="S95" s="2658"/>
      <c r="T95" s="2658"/>
      <c r="U95" s="2658"/>
      <c r="V95" s="2658"/>
      <c r="W95" s="2658"/>
      <c r="X95" s="2658"/>
      <c r="Y95" s="2658"/>
      <c r="Z95" s="2658"/>
      <c r="AA95" s="2658"/>
      <c r="AB95" s="2658"/>
      <c r="AC95" s="2658"/>
    </row>
    <row r="96" spans="1:29" s="107" customFormat="1" ht="14.4" thickBot="1">
      <c r="A96" s="526"/>
      <c r="B96" s="490"/>
      <c r="C96" s="529">
        <v>100</v>
      </c>
      <c r="D96" s="491">
        <f>C96-$K23</f>
        <v>100</v>
      </c>
      <c r="E96" s="491">
        <f>D96-$K23</f>
        <v>100</v>
      </c>
      <c r="F96" s="491">
        <f>E96-$K23</f>
        <v>100</v>
      </c>
      <c r="G96" s="491">
        <f>F96-$K23</f>
        <v>100</v>
      </c>
      <c r="H96" s="491"/>
      <c r="I96" s="491"/>
      <c r="J96" s="491"/>
      <c r="K96" s="491"/>
      <c r="L96" s="491"/>
      <c r="M96" s="492"/>
      <c r="N96" s="2751"/>
      <c r="O96" s="2751"/>
      <c r="P96" s="2775"/>
      <c r="Q96" s="2736"/>
      <c r="R96" s="2658"/>
      <c r="S96" s="2658"/>
      <c r="T96" s="2658"/>
      <c r="U96" s="2658"/>
      <c r="V96" s="2658"/>
      <c r="W96" s="2658"/>
      <c r="X96" s="2658"/>
      <c r="Y96" s="2658"/>
      <c r="Z96" s="2658"/>
      <c r="AA96" s="2658"/>
      <c r="AB96" s="2658"/>
      <c r="AC96" s="2658"/>
    </row>
    <row r="97" spans="1:29" s="107" customFormat="1" ht="29.4" thickTop="1">
      <c r="A97" s="526"/>
      <c r="B97" s="485" t="s">
        <v>1908</v>
      </c>
      <c r="C97" s="520" t="s">
        <v>1721</v>
      </c>
      <c r="D97" s="520" t="s">
        <v>1722</v>
      </c>
      <c r="E97" s="520" t="s">
        <v>1723</v>
      </c>
      <c r="F97" s="520" t="s">
        <v>1724</v>
      </c>
      <c r="G97" s="520" t="s">
        <v>1725</v>
      </c>
      <c r="H97" s="525"/>
      <c r="I97" s="525"/>
      <c r="J97" s="525"/>
      <c r="K97" s="525"/>
      <c r="L97" s="525"/>
      <c r="M97" s="568"/>
      <c r="N97" s="2749"/>
      <c r="O97" s="2749"/>
      <c r="P97" s="2775"/>
      <c r="Q97" s="2736"/>
      <c r="R97" s="2658"/>
      <c r="S97" s="2658"/>
      <c r="T97" s="2658"/>
      <c r="U97" s="2658"/>
      <c r="V97" s="2658"/>
      <c r="W97" s="2658"/>
      <c r="X97" s="2658"/>
      <c r="Y97" s="2658"/>
      <c r="Z97" s="2658"/>
      <c r="AA97" s="2658"/>
      <c r="AB97" s="2658"/>
      <c r="AC97" s="2658"/>
    </row>
    <row r="98" spans="1:29" s="107" customFormat="1" ht="14.4" thickBot="1">
      <c r="A98" s="526"/>
      <c r="B98" s="490"/>
      <c r="C98" s="491">
        <v>100</v>
      </c>
      <c r="D98" s="491">
        <f>C98-$K25</f>
        <v>100</v>
      </c>
      <c r="E98" s="491">
        <f>D98-$K25</f>
        <v>100</v>
      </c>
      <c r="F98" s="491">
        <f>E98-$K25</f>
        <v>100</v>
      </c>
      <c r="G98" s="491">
        <f>F98-$K25</f>
        <v>100</v>
      </c>
      <c r="H98" s="491"/>
      <c r="I98" s="491"/>
      <c r="J98" s="491"/>
      <c r="K98" s="491"/>
      <c r="L98" s="491"/>
      <c r="M98" s="492"/>
      <c r="N98" s="2751"/>
      <c r="O98" s="2751"/>
      <c r="P98" s="2775"/>
      <c r="Q98" s="2736"/>
      <c r="R98" s="2658"/>
      <c r="S98" s="2658"/>
      <c r="T98" s="2658"/>
      <c r="U98" s="2658"/>
      <c r="V98" s="2658"/>
      <c r="W98" s="2658"/>
      <c r="X98" s="2658"/>
      <c r="Y98" s="2658"/>
      <c r="Z98" s="2658"/>
      <c r="AA98" s="2658"/>
      <c r="AB98" s="2658"/>
      <c r="AC98" s="2658"/>
    </row>
    <row r="99" spans="1:29" s="420" customFormat="1" ht="15" thickTop="1">
      <c r="A99" s="500"/>
      <c r="B99" s="485" t="s">
        <v>1778</v>
      </c>
      <c r="C99" s="520" t="s">
        <v>1721</v>
      </c>
      <c r="D99" s="520" t="s">
        <v>1722</v>
      </c>
      <c r="E99" s="520" t="s">
        <v>1723</v>
      </c>
      <c r="F99" s="520" t="s">
        <v>1724</v>
      </c>
      <c r="G99" s="520" t="s">
        <v>1725</v>
      </c>
      <c r="H99" s="547"/>
      <c r="I99" s="547"/>
      <c r="J99" s="547"/>
      <c r="K99" s="547"/>
      <c r="L99" s="548"/>
      <c r="M99" s="549"/>
      <c r="N99" s="2752"/>
      <c r="O99" s="2752"/>
      <c r="P99" s="2776"/>
      <c r="Q99" s="2743"/>
      <c r="R99" s="2744"/>
      <c r="S99" s="2744"/>
      <c r="T99" s="2744"/>
      <c r="U99" s="2744"/>
      <c r="V99" s="2744"/>
      <c r="W99" s="2744"/>
      <c r="X99" s="2744"/>
      <c r="Y99" s="2744"/>
      <c r="Z99" s="2744"/>
      <c r="AA99" s="2744"/>
      <c r="AB99" s="2744"/>
      <c r="AC99" s="2744"/>
    </row>
    <row r="100" spans="1:29" s="420" customFormat="1" ht="14.4" thickBot="1">
      <c r="A100" s="500"/>
      <c r="B100" s="490"/>
      <c r="C100" s="491">
        <v>100</v>
      </c>
      <c r="D100" s="491">
        <f>C100-$K27</f>
        <v>100</v>
      </c>
      <c r="E100" s="491">
        <f>D100-$K27</f>
        <v>100</v>
      </c>
      <c r="F100" s="491">
        <f>E100-$K27</f>
        <v>100</v>
      </c>
      <c r="G100" s="491">
        <f>F100-$K27</f>
        <v>100</v>
      </c>
      <c r="H100" s="554"/>
      <c r="I100" s="554"/>
      <c r="J100" s="554"/>
      <c r="K100" s="554"/>
      <c r="L100" s="554"/>
      <c r="M100" s="555"/>
      <c r="N100" s="2752"/>
      <c r="O100" s="2752"/>
      <c r="P100" s="2776"/>
      <c r="Q100" s="2743"/>
      <c r="R100" s="2744"/>
      <c r="S100" s="2744"/>
      <c r="T100" s="2744"/>
      <c r="U100" s="2744"/>
      <c r="V100" s="2744"/>
      <c r="W100" s="2744"/>
      <c r="X100" s="2744"/>
      <c r="Y100" s="2744"/>
      <c r="Z100" s="2744"/>
      <c r="AA100" s="2744"/>
      <c r="AB100" s="2744"/>
      <c r="AC100" s="2744"/>
    </row>
    <row r="101" spans="1:29" s="420" customFormat="1" ht="15" thickTop="1">
      <c r="A101" s="500"/>
      <c r="B101" s="493" t="s">
        <v>1779</v>
      </c>
      <c r="C101" s="606" t="s">
        <v>1799</v>
      </c>
      <c r="D101" s="606" t="s">
        <v>1800</v>
      </c>
      <c r="E101" s="606" t="s">
        <v>1801</v>
      </c>
      <c r="F101" s="606" t="s">
        <v>1802</v>
      </c>
      <c r="G101" s="606" t="s">
        <v>1803</v>
      </c>
      <c r="H101" s="547"/>
      <c r="I101" s="547"/>
      <c r="J101" s="547"/>
      <c r="K101" s="547"/>
      <c r="L101" s="547"/>
      <c r="M101" s="1129"/>
      <c r="N101" s="2752"/>
      <c r="O101" s="2752"/>
      <c r="P101" s="2776"/>
      <c r="Q101" s="2743"/>
      <c r="R101" s="2744"/>
      <c r="S101" s="2744"/>
      <c r="T101" s="2744"/>
      <c r="U101" s="2744"/>
      <c r="V101" s="2744"/>
      <c r="W101" s="2744"/>
      <c r="X101" s="2744"/>
      <c r="Y101" s="2744"/>
      <c r="Z101" s="2744"/>
      <c r="AA101" s="2744"/>
      <c r="AB101" s="2744"/>
      <c r="AC101" s="2744"/>
    </row>
    <row r="102" spans="1:29" s="420" customFormat="1" ht="14.4" thickBot="1">
      <c r="A102" s="500"/>
      <c r="B102" s="493"/>
      <c r="C102" s="491">
        <v>100</v>
      </c>
      <c r="D102" s="491">
        <f>C102-$K29</f>
        <v>100</v>
      </c>
      <c r="E102" s="491">
        <f>D102-$K29</f>
        <v>100</v>
      </c>
      <c r="F102" s="491">
        <f>E102-$K29</f>
        <v>100</v>
      </c>
      <c r="G102" s="491">
        <f>F102-$K29</f>
        <v>100</v>
      </c>
      <c r="H102" s="495"/>
      <c r="I102" s="495"/>
      <c r="J102" s="495"/>
      <c r="K102" s="495"/>
      <c r="L102" s="495"/>
      <c r="M102" s="1129"/>
      <c r="N102" s="2752"/>
      <c r="O102" s="2752"/>
      <c r="P102" s="2776"/>
      <c r="Q102" s="2743"/>
      <c r="R102" s="2744"/>
      <c r="S102" s="2744"/>
      <c r="T102" s="2744"/>
      <c r="U102" s="2744"/>
      <c r="V102" s="2744"/>
      <c r="W102" s="2744"/>
      <c r="X102" s="2744"/>
      <c r="Y102" s="2744"/>
      <c r="Z102" s="2744"/>
      <c r="AA102" s="2744"/>
      <c r="AB102" s="2744"/>
      <c r="AC102" s="2744"/>
    </row>
    <row r="103" spans="1:29" ht="15" thickTop="1">
      <c r="A103" s="481"/>
      <c r="B103" s="485" t="str">
        <f>B31</f>
        <v>临街状况</v>
      </c>
      <c r="C103" s="486" t="s">
        <v>1909</v>
      </c>
      <c r="D103" s="486" t="s">
        <v>1910</v>
      </c>
      <c r="E103" s="486" t="s">
        <v>1911</v>
      </c>
      <c r="F103" s="486" t="s">
        <v>1912</v>
      </c>
      <c r="G103" s="486"/>
      <c r="H103" s="486"/>
      <c r="I103" s="486"/>
      <c r="J103" s="486"/>
      <c r="K103" s="487"/>
      <c r="L103" s="488"/>
      <c r="M103" s="489"/>
      <c r="N103" s="2750"/>
      <c r="O103" s="2750"/>
      <c r="P103" s="2775"/>
      <c r="Q103" s="2736"/>
      <c r="R103" s="2722"/>
      <c r="S103" s="2722"/>
      <c r="T103" s="2722"/>
      <c r="U103" s="2722"/>
      <c r="V103" s="2722"/>
      <c r="W103" s="2722"/>
      <c r="X103" s="2722"/>
      <c r="Y103" s="2722"/>
      <c r="Z103" s="2722"/>
      <c r="AA103" s="2722"/>
      <c r="AB103" s="2722"/>
      <c r="AC103" s="2722"/>
    </row>
    <row r="104" spans="1:29" ht="14.4"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51"/>
      <c r="O104" s="2751"/>
      <c r="P104" s="2775"/>
      <c r="Q104" s="2736"/>
      <c r="R104" s="2722"/>
      <c r="S104" s="2722"/>
      <c r="T104" s="2722"/>
      <c r="U104" s="2722"/>
      <c r="V104" s="2722"/>
      <c r="W104" s="2722"/>
      <c r="X104" s="2722"/>
      <c r="Y104" s="2722"/>
      <c r="Z104" s="2722"/>
      <c r="AA104" s="2722"/>
      <c r="AB104" s="2722"/>
      <c r="AC104" s="2722"/>
    </row>
    <row r="105" spans="1:29" ht="29.4" thickTop="1">
      <c r="A105" s="481"/>
      <c r="B105" s="485" t="s">
        <v>1815</v>
      </c>
      <c r="C105" s="501"/>
      <c r="D105" s="501"/>
      <c r="E105" s="501"/>
      <c r="F105" s="501"/>
      <c r="G105" s="501"/>
      <c r="H105" s="530"/>
      <c r="I105" s="530"/>
      <c r="J105" s="530"/>
      <c r="K105" s="531"/>
      <c r="L105" s="532"/>
      <c r="M105" s="533"/>
      <c r="N105" s="2750"/>
      <c r="O105" s="2750"/>
      <c r="P105" s="2775"/>
      <c r="Q105" s="2736"/>
      <c r="R105" s="2722"/>
      <c r="S105" s="2722"/>
      <c r="T105" s="2722"/>
      <c r="U105" s="2722"/>
      <c r="V105" s="2722"/>
      <c r="W105" s="2722"/>
      <c r="X105" s="2722"/>
      <c r="Y105" s="2722"/>
      <c r="Z105" s="2722"/>
      <c r="AA105" s="2722"/>
      <c r="AB105" s="2722"/>
      <c r="AC105" s="2722"/>
    </row>
    <row r="106" spans="1:29" ht="14.4"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51"/>
      <c r="O106" s="2751"/>
      <c r="P106" s="2775"/>
      <c r="Q106" s="2736"/>
      <c r="R106" s="2722"/>
      <c r="S106" s="2722"/>
      <c r="T106" s="2722"/>
      <c r="U106" s="2722"/>
      <c r="V106" s="2722"/>
      <c r="W106" s="2722"/>
      <c r="X106" s="2722"/>
      <c r="Y106" s="2722"/>
      <c r="Z106" s="2722"/>
      <c r="AA106" s="2722"/>
      <c r="AB106" s="2722"/>
      <c r="AC106" s="2722"/>
    </row>
    <row r="107" spans="1:29" ht="15" thickTop="1">
      <c r="A107" s="481"/>
      <c r="B107" s="485" t="s">
        <v>1873</v>
      </c>
      <c r="C107" s="530"/>
      <c r="D107" s="530"/>
      <c r="E107" s="530"/>
      <c r="F107" s="530"/>
      <c r="G107" s="530"/>
      <c r="H107" s="530"/>
      <c r="I107" s="530"/>
      <c r="J107" s="530"/>
      <c r="K107" s="531"/>
      <c r="L107" s="532"/>
      <c r="M107" s="533"/>
      <c r="N107" s="2750"/>
      <c r="O107" s="2750"/>
      <c r="P107" s="2775"/>
      <c r="Q107" s="2736"/>
      <c r="R107" s="2722"/>
      <c r="S107" s="2722"/>
      <c r="T107" s="2722"/>
      <c r="U107" s="2722"/>
      <c r="V107" s="2722"/>
      <c r="W107" s="2722"/>
      <c r="X107" s="2722"/>
      <c r="Y107" s="2722"/>
      <c r="Z107" s="2722"/>
      <c r="AA107" s="2722"/>
      <c r="AB107" s="2722"/>
      <c r="AC107" s="2722"/>
    </row>
    <row r="108" spans="1:29" ht="14.4"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51"/>
      <c r="O108" s="2751"/>
      <c r="P108" s="2775"/>
      <c r="Q108" s="2736"/>
      <c r="R108" s="2722"/>
      <c r="S108" s="2722"/>
      <c r="T108" s="2722"/>
      <c r="U108" s="2722"/>
      <c r="V108" s="2722"/>
      <c r="W108" s="2722"/>
      <c r="X108" s="2722"/>
      <c r="Y108" s="2722"/>
      <c r="Z108" s="2722"/>
      <c r="AA108" s="2722"/>
      <c r="AB108" s="2722"/>
      <c r="AC108" s="2722"/>
    </row>
    <row r="109" spans="1:29" ht="14.4" thickTop="1">
      <c r="A109" s="481"/>
      <c r="B109" s="493">
        <f>B35</f>
        <v>111</v>
      </c>
      <c r="C109" s="501"/>
      <c r="D109" s="501"/>
      <c r="E109" s="501"/>
      <c r="F109" s="501"/>
      <c r="G109" s="534"/>
      <c r="H109" s="534"/>
      <c r="I109" s="534"/>
      <c r="J109" s="534"/>
      <c r="K109" s="535"/>
      <c r="L109" s="536"/>
      <c r="M109" s="537"/>
      <c r="N109" s="2750"/>
      <c r="O109" s="2750"/>
      <c r="P109" s="2775"/>
      <c r="Q109" s="2736"/>
      <c r="R109" s="2722"/>
      <c r="S109" s="2722"/>
      <c r="T109" s="2722"/>
      <c r="U109" s="2722"/>
      <c r="V109" s="2722"/>
      <c r="W109" s="2722"/>
      <c r="X109" s="2722"/>
      <c r="Y109" s="2722"/>
      <c r="Z109" s="2722"/>
      <c r="AA109" s="2722"/>
      <c r="AB109" s="2722"/>
      <c r="AC109" s="2722"/>
    </row>
    <row r="110" spans="1:29" ht="14.4" thickBot="1">
      <c r="A110" s="481"/>
      <c r="B110" s="516"/>
      <c r="C110" s="507"/>
      <c r="D110" s="507"/>
      <c r="E110" s="507"/>
      <c r="F110" s="507"/>
      <c r="G110" s="538"/>
      <c r="H110" s="538"/>
      <c r="I110" s="538"/>
      <c r="J110" s="538"/>
      <c r="K110" s="538"/>
      <c r="L110" s="538"/>
      <c r="M110" s="539"/>
      <c r="N110" s="2751"/>
      <c r="O110" s="2751"/>
      <c r="P110" s="2775"/>
      <c r="Q110" s="2736"/>
      <c r="R110" s="2722"/>
      <c r="S110" s="2722"/>
      <c r="T110" s="2722"/>
      <c r="U110" s="2722"/>
      <c r="V110" s="2722"/>
      <c r="W110" s="2722"/>
      <c r="X110" s="2722"/>
      <c r="Y110" s="2722"/>
      <c r="Z110" s="2722"/>
      <c r="AA110" s="2722"/>
      <c r="AB110" s="2722"/>
      <c r="AC110" s="2722"/>
    </row>
    <row r="111" spans="1:29" ht="14.4" thickTop="1">
      <c r="A111" s="621"/>
      <c r="B111" s="485">
        <f>B36</f>
        <v>111</v>
      </c>
      <c r="C111" s="470"/>
      <c r="D111" s="470"/>
      <c r="E111" s="470"/>
      <c r="F111" s="470"/>
      <c r="G111" s="530"/>
      <c r="H111" s="530"/>
      <c r="I111" s="530"/>
      <c r="J111" s="530"/>
      <c r="K111" s="531"/>
      <c r="L111" s="532"/>
      <c r="M111" s="533"/>
      <c r="N111" s="2750"/>
      <c r="O111" s="2750"/>
      <c r="P111" s="2775"/>
      <c r="Q111" s="2736"/>
      <c r="R111" s="2722"/>
      <c r="S111" s="2722"/>
      <c r="T111" s="2722"/>
      <c r="U111" s="2722"/>
      <c r="V111" s="2722"/>
      <c r="W111" s="2722"/>
      <c r="X111" s="2722"/>
      <c r="Y111" s="2722"/>
      <c r="Z111" s="2722"/>
      <c r="AA111" s="2722"/>
      <c r="AB111" s="2722"/>
      <c r="AC111" s="2722"/>
    </row>
    <row r="112" spans="1:29" ht="14.4" thickBot="1">
      <c r="A112" s="481"/>
      <c r="B112" s="490"/>
      <c r="C112" s="517"/>
      <c r="D112" s="517"/>
      <c r="E112" s="517"/>
      <c r="F112" s="517"/>
      <c r="G112" s="483"/>
      <c r="H112" s="483"/>
      <c r="I112" s="483"/>
      <c r="J112" s="483"/>
      <c r="K112" s="483"/>
      <c r="L112" s="483"/>
      <c r="M112" s="484"/>
      <c r="N112" s="2751"/>
      <c r="O112" s="2751"/>
      <c r="P112" s="2775"/>
      <c r="Q112" s="2736"/>
      <c r="R112" s="2722"/>
      <c r="S112" s="2722"/>
      <c r="T112" s="2722"/>
      <c r="U112" s="2722"/>
      <c r="V112" s="2722"/>
      <c r="W112" s="2722"/>
      <c r="X112" s="2722"/>
      <c r="Y112" s="2722"/>
      <c r="Z112" s="2722"/>
      <c r="AA112" s="2722"/>
      <c r="AB112" s="2722"/>
      <c r="AC112" s="2722"/>
    </row>
    <row r="113" spans="1:29" s="420" customFormat="1" ht="14.4" thickTop="1">
      <c r="A113" s="540"/>
      <c r="B113" s="541">
        <f>B37</f>
        <v>111</v>
      </c>
      <c r="C113" s="542"/>
      <c r="D113" s="542"/>
      <c r="E113" s="542"/>
      <c r="F113" s="542"/>
      <c r="G113" s="542"/>
      <c r="H113" s="542"/>
      <c r="I113" s="542"/>
      <c r="J113" s="543"/>
      <c r="K113" s="543"/>
      <c r="L113" s="544"/>
      <c r="M113" s="545"/>
      <c r="N113" s="2752"/>
      <c r="O113" s="2752"/>
      <c r="P113" s="2776"/>
      <c r="Q113" s="2743"/>
      <c r="R113" s="2744"/>
      <c r="S113" s="2744"/>
      <c r="T113" s="2744"/>
      <c r="U113" s="2744"/>
      <c r="V113" s="2744"/>
      <c r="W113" s="2744"/>
      <c r="X113" s="2744"/>
      <c r="Y113" s="2744"/>
      <c r="Z113" s="2744"/>
      <c r="AA113" s="2744"/>
      <c r="AB113" s="2744"/>
      <c r="AC113" s="2744"/>
    </row>
    <row r="114" spans="1:29" s="420" customFormat="1" ht="14.4" thickBot="1">
      <c r="A114" s="500"/>
      <c r="B114" s="493"/>
      <c r="C114" s="459"/>
      <c r="D114" s="623"/>
      <c r="E114" s="623"/>
      <c r="F114" s="623"/>
      <c r="G114" s="623"/>
      <c r="H114" s="623"/>
      <c r="I114" s="623"/>
      <c r="J114" s="623"/>
      <c r="K114" s="623"/>
      <c r="L114" s="623"/>
      <c r="M114" s="645"/>
      <c r="N114" s="2751"/>
      <c r="O114" s="2751"/>
      <c r="P114" s="2776"/>
      <c r="Q114" s="2743"/>
      <c r="R114" s="2744"/>
      <c r="S114" s="2744"/>
      <c r="T114" s="2744"/>
      <c r="U114" s="2744"/>
      <c r="V114" s="2744"/>
      <c r="W114" s="2744"/>
      <c r="X114" s="2744"/>
      <c r="Y114" s="2744"/>
      <c r="Z114" s="2744"/>
      <c r="AA114" s="2744"/>
      <c r="AB114" s="2744"/>
      <c r="AC114" s="2744"/>
    </row>
    <row r="115" spans="1:29" ht="14.4">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50"/>
      <c r="O115" s="2750"/>
      <c r="P115" s="2775"/>
      <c r="Q115" s="2736"/>
      <c r="R115" s="2722"/>
      <c r="S115" s="2722"/>
      <c r="T115" s="2722"/>
      <c r="U115" s="2722"/>
      <c r="V115" s="2722"/>
      <c r="W115" s="2722"/>
      <c r="X115" s="2722"/>
      <c r="Y115" s="2722"/>
      <c r="Z115" s="2722"/>
      <c r="AA115" s="2722"/>
      <c r="AB115" s="2722"/>
      <c r="AC115" s="2722"/>
    </row>
    <row r="116" spans="1:29">
      <c r="A116" s="481"/>
      <c r="B116" s="493"/>
      <c r="C116" s="542"/>
      <c r="D116" s="542"/>
      <c r="E116" s="542"/>
      <c r="F116" s="542"/>
      <c r="G116" s="542"/>
      <c r="H116" s="542"/>
      <c r="I116" s="542"/>
      <c r="J116" s="543"/>
      <c r="K116" s="543"/>
      <c r="L116" s="544"/>
      <c r="M116" s="545"/>
      <c r="N116" s="2750"/>
      <c r="O116" s="2750"/>
      <c r="P116" s="2775"/>
      <c r="Q116" s="2736"/>
      <c r="R116" s="2722"/>
      <c r="S116" s="2722"/>
      <c r="T116" s="2722"/>
      <c r="U116" s="2722"/>
      <c r="V116" s="2722"/>
      <c r="W116" s="2722"/>
      <c r="X116" s="2722"/>
      <c r="Y116" s="2722"/>
      <c r="Z116" s="2722"/>
      <c r="AA116" s="2722"/>
      <c r="AB116" s="2722"/>
      <c r="AC116" s="2722"/>
    </row>
    <row r="117" spans="1:29" ht="14.4" thickBot="1">
      <c r="A117" s="481"/>
      <c r="B117" s="490"/>
      <c r="C117" s="517"/>
      <c r="D117" s="538"/>
      <c r="E117" s="538"/>
      <c r="F117" s="538"/>
      <c r="G117" s="538"/>
      <c r="H117" s="538"/>
      <c r="I117" s="538"/>
      <c r="J117" s="538"/>
      <c r="K117" s="538"/>
      <c r="L117" s="538"/>
      <c r="M117" s="539"/>
      <c r="N117" s="2751"/>
      <c r="O117" s="2751"/>
      <c r="P117" s="2775"/>
      <c r="Q117" s="2736"/>
      <c r="R117" s="2722"/>
      <c r="S117" s="2722"/>
      <c r="T117" s="2722"/>
      <c r="U117" s="2722"/>
      <c r="V117" s="2722"/>
      <c r="W117" s="2722"/>
      <c r="X117" s="2722"/>
      <c r="Y117" s="2722"/>
      <c r="Z117" s="2722"/>
      <c r="AA117" s="2722"/>
      <c r="AB117" s="2722"/>
      <c r="AC117" s="2722"/>
    </row>
    <row r="118" spans="1:29" ht="15" thickTop="1">
      <c r="A118" s="546"/>
      <c r="B118" s="485" t="s">
        <v>1914</v>
      </c>
      <c r="C118" s="530"/>
      <c r="D118" s="530"/>
      <c r="E118" s="530"/>
      <c r="F118" s="530"/>
      <c r="G118" s="530"/>
      <c r="H118" s="530"/>
      <c r="I118" s="530"/>
      <c r="J118" s="530"/>
      <c r="K118" s="531"/>
      <c r="L118" s="532"/>
      <c r="M118" s="533"/>
      <c r="N118" s="2750"/>
      <c r="O118" s="2750"/>
      <c r="P118" s="2775"/>
      <c r="Q118" s="2736"/>
      <c r="R118" s="2722"/>
      <c r="S118" s="2722"/>
      <c r="T118" s="2722"/>
      <c r="U118" s="2722"/>
      <c r="V118" s="2722"/>
      <c r="W118" s="2722"/>
      <c r="X118" s="2722"/>
      <c r="Y118" s="2722"/>
      <c r="Z118" s="2722"/>
      <c r="AA118" s="2722"/>
      <c r="AB118" s="2722"/>
      <c r="AC118" s="2722"/>
    </row>
    <row r="119" spans="1:29" ht="14.4"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6"/>
      <c r="B120" s="485" t="s">
        <v>1915</v>
      </c>
      <c r="C120" s="501"/>
      <c r="D120" s="501"/>
      <c r="E120" s="501"/>
      <c r="F120" s="530"/>
      <c r="G120" s="530"/>
      <c r="H120" s="530"/>
      <c r="I120" s="530"/>
      <c r="J120" s="530"/>
      <c r="K120" s="531"/>
      <c r="L120" s="532"/>
      <c r="M120" s="533"/>
      <c r="N120" s="2750"/>
      <c r="O120" s="2750"/>
      <c r="P120" s="2775"/>
      <c r="Q120" s="2736"/>
      <c r="R120" s="2722"/>
      <c r="S120" s="2722"/>
      <c r="T120" s="2722"/>
      <c r="U120" s="2722"/>
      <c r="V120" s="2722"/>
      <c r="W120" s="2722"/>
      <c r="X120" s="2722"/>
      <c r="Y120" s="2722"/>
      <c r="Z120" s="2722"/>
      <c r="AA120" s="2722"/>
      <c r="AB120" s="2722"/>
      <c r="AC120" s="2722"/>
    </row>
    <row r="121" spans="1:29" ht="14.4"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51"/>
      <c r="O121" s="2751"/>
      <c r="P121" s="2775"/>
      <c r="Q121" s="2736"/>
      <c r="R121" s="2722"/>
      <c r="S121" s="2722"/>
      <c r="T121" s="2722"/>
      <c r="U121" s="2722"/>
      <c r="V121" s="2722"/>
      <c r="W121" s="2722"/>
      <c r="X121" s="2722"/>
      <c r="Y121" s="2722"/>
      <c r="Z121" s="2722"/>
      <c r="AA121" s="2722"/>
      <c r="AB121" s="2722"/>
      <c r="AC121" s="2722"/>
    </row>
    <row r="122" spans="1:29" s="420" customFormat="1" ht="15" thickTop="1">
      <c r="A122" s="540"/>
      <c r="B122" s="485" t="s">
        <v>1916</v>
      </c>
      <c r="C122" s="501"/>
      <c r="D122" s="501"/>
      <c r="E122" s="501"/>
      <c r="F122" s="501"/>
      <c r="G122" s="501"/>
      <c r="H122" s="530"/>
      <c r="I122" s="530"/>
      <c r="J122" s="530"/>
      <c r="K122" s="531"/>
      <c r="L122" s="532"/>
      <c r="M122" s="533"/>
      <c r="N122" s="2752"/>
      <c r="O122" s="2752"/>
      <c r="P122" s="2776"/>
      <c r="Q122" s="2743"/>
      <c r="R122" s="2744"/>
      <c r="S122" s="2744"/>
      <c r="T122" s="2744"/>
      <c r="U122" s="2744"/>
      <c r="V122" s="2744"/>
      <c r="W122" s="2744"/>
      <c r="X122" s="2744"/>
      <c r="Y122" s="2744"/>
      <c r="Z122" s="2744"/>
      <c r="AA122" s="2744"/>
      <c r="AB122" s="2744"/>
      <c r="AC122" s="2744"/>
    </row>
    <row r="123" spans="1:29" s="420" customFormat="1" ht="14.4"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6"/>
      <c r="B124" s="485" t="s">
        <v>1917</v>
      </c>
      <c r="C124" s="501"/>
      <c r="D124" s="501"/>
      <c r="E124" s="530"/>
      <c r="F124" s="530"/>
      <c r="G124" s="530"/>
      <c r="H124" s="530"/>
      <c r="I124" s="530"/>
      <c r="J124" s="530"/>
      <c r="K124" s="531"/>
      <c r="L124" s="532"/>
      <c r="M124" s="533"/>
      <c r="N124" s="2750"/>
      <c r="O124" s="2750"/>
      <c r="P124" s="2775"/>
      <c r="Q124" s="2736"/>
      <c r="R124" s="2722"/>
      <c r="S124" s="2722"/>
      <c r="T124" s="2722"/>
      <c r="U124" s="2722"/>
      <c r="V124" s="2722"/>
      <c r="W124" s="2722"/>
      <c r="X124" s="2722"/>
      <c r="Y124" s="2722"/>
      <c r="Z124" s="2722"/>
      <c r="AA124" s="2722"/>
      <c r="AB124" s="2722"/>
      <c r="AC124" s="2722"/>
    </row>
    <row r="125" spans="1:29" ht="14.4"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51"/>
      <c r="O125" s="2751"/>
      <c r="P125" s="2775"/>
      <c r="Q125" s="2736"/>
      <c r="R125" s="2722"/>
      <c r="S125" s="2722"/>
      <c r="T125" s="2722"/>
      <c r="U125" s="2722"/>
      <c r="V125" s="2722"/>
      <c r="W125" s="2722"/>
      <c r="X125" s="2722"/>
      <c r="Y125" s="2722"/>
      <c r="Z125" s="2722"/>
      <c r="AA125" s="2722"/>
      <c r="AB125" s="2722"/>
      <c r="AC125" s="2722"/>
    </row>
    <row r="126" spans="1:29" ht="14.4" thickTop="1">
      <c r="A126" s="546"/>
      <c r="B126" s="485">
        <f>B43</f>
        <v>111</v>
      </c>
      <c r="C126" s="501"/>
      <c r="D126" s="501"/>
      <c r="E126" s="501"/>
      <c r="F126" s="501"/>
      <c r="G126" s="501"/>
      <c r="H126" s="530"/>
      <c r="I126" s="530"/>
      <c r="J126" s="530"/>
      <c r="K126" s="531"/>
      <c r="L126" s="532"/>
      <c r="M126" s="533"/>
      <c r="N126" s="2750"/>
      <c r="O126" s="2750"/>
      <c r="P126" s="2775"/>
      <c r="Q126" s="2736"/>
      <c r="R126" s="2722"/>
      <c r="S126" s="2722"/>
      <c r="T126" s="2722"/>
      <c r="U126" s="2722"/>
      <c r="V126" s="2722"/>
      <c r="W126" s="2722"/>
      <c r="X126" s="2722"/>
      <c r="Y126" s="2722"/>
      <c r="Z126" s="2722"/>
      <c r="AA126" s="2722"/>
      <c r="AB126" s="2722"/>
      <c r="AC126" s="2722"/>
    </row>
    <row r="127" spans="1:29" ht="14.4" thickBot="1">
      <c r="A127" s="481"/>
      <c r="B127" s="490"/>
      <c r="C127" s="507"/>
      <c r="D127" s="507"/>
      <c r="E127" s="507"/>
      <c r="F127" s="507"/>
      <c r="G127" s="483"/>
      <c r="H127" s="483"/>
      <c r="I127" s="483"/>
      <c r="J127" s="483"/>
      <c r="K127" s="483"/>
      <c r="L127" s="483"/>
      <c r="M127" s="484"/>
      <c r="N127" s="2751"/>
      <c r="O127" s="2751"/>
      <c r="P127" s="2775"/>
      <c r="Q127" s="2736"/>
      <c r="R127" s="2722"/>
      <c r="S127" s="2722"/>
      <c r="T127" s="2722"/>
      <c r="U127" s="2722"/>
      <c r="V127" s="2722"/>
      <c r="W127" s="2722"/>
      <c r="X127" s="2722"/>
      <c r="Y127" s="2722"/>
      <c r="Z127" s="2722"/>
      <c r="AA127" s="2722"/>
      <c r="AB127" s="2722"/>
      <c r="AC127" s="2722"/>
    </row>
    <row r="128" spans="1:29" ht="14.4" thickTop="1">
      <c r="A128" s="546"/>
      <c r="B128" s="485">
        <f>B44</f>
        <v>111</v>
      </c>
      <c r="C128" s="470"/>
      <c r="D128" s="470"/>
      <c r="E128" s="470"/>
      <c r="F128" s="470"/>
      <c r="G128" s="530"/>
      <c r="H128" s="530"/>
      <c r="I128" s="530"/>
      <c r="J128" s="530"/>
      <c r="K128" s="531"/>
      <c r="L128" s="532"/>
      <c r="M128" s="533"/>
      <c r="N128" s="2750"/>
      <c r="O128" s="2750"/>
      <c r="P128" s="2775"/>
      <c r="Q128" s="2736"/>
      <c r="R128" s="2722"/>
      <c r="S128" s="2722"/>
      <c r="T128" s="2722"/>
      <c r="U128" s="2722"/>
      <c r="V128" s="2722"/>
      <c r="W128" s="2722"/>
      <c r="X128" s="2722"/>
      <c r="Y128" s="2722"/>
      <c r="Z128" s="2722"/>
      <c r="AA128" s="2722"/>
      <c r="AB128" s="2722"/>
      <c r="AC128" s="2722"/>
    </row>
    <row r="129" spans="1:29" ht="14.4" thickBot="1">
      <c r="A129" s="481"/>
      <c r="B129" s="490"/>
      <c r="C129" s="517"/>
      <c r="D129" s="517"/>
      <c r="E129" s="517"/>
      <c r="F129" s="517"/>
      <c r="G129" s="483"/>
      <c r="H129" s="483"/>
      <c r="I129" s="483"/>
      <c r="J129" s="483"/>
      <c r="K129" s="483"/>
      <c r="L129" s="483"/>
      <c r="M129" s="484"/>
      <c r="N129" s="2751"/>
      <c r="O129" s="2751"/>
      <c r="P129" s="2775"/>
      <c r="Q129" s="2736"/>
      <c r="R129" s="2722"/>
      <c r="S129" s="2722"/>
      <c r="T129" s="2722"/>
      <c r="U129" s="2722"/>
      <c r="V129" s="2722"/>
      <c r="W129" s="2722"/>
      <c r="X129" s="2722"/>
      <c r="Y129" s="2722"/>
      <c r="Z129" s="2722"/>
      <c r="AA129" s="2722"/>
      <c r="AB129" s="2722"/>
      <c r="AC129" s="2722"/>
    </row>
    <row r="130" spans="1:29" s="420" customFormat="1" ht="14.4" thickTop="1">
      <c r="A130" s="540"/>
      <c r="B130" s="485">
        <f>B45</f>
        <v>111</v>
      </c>
      <c r="C130" s="470"/>
      <c r="D130" s="470"/>
      <c r="E130" s="470"/>
      <c r="F130" s="470"/>
      <c r="G130" s="502"/>
      <c r="H130" s="502"/>
      <c r="I130" s="502"/>
      <c r="J130" s="502"/>
      <c r="K130" s="502"/>
      <c r="L130" s="503"/>
      <c r="M130" s="504"/>
      <c r="N130" s="2752"/>
      <c r="O130" s="2752"/>
      <c r="P130" s="2776"/>
      <c r="Q130" s="2743"/>
      <c r="R130" s="2744"/>
      <c r="S130" s="2744"/>
      <c r="T130" s="2744"/>
      <c r="U130" s="2744"/>
      <c r="V130" s="2744"/>
      <c r="W130" s="2744"/>
      <c r="X130" s="2744"/>
      <c r="Y130" s="2744"/>
      <c r="Z130" s="2744"/>
      <c r="AA130" s="2744"/>
      <c r="AB130" s="2744"/>
      <c r="AC130" s="2744"/>
    </row>
    <row r="131" spans="1:29" s="420" customFormat="1" ht="14.4" thickBot="1">
      <c r="A131" s="515"/>
      <c r="B131" s="646"/>
      <c r="C131" s="517"/>
      <c r="D131" s="517"/>
      <c r="E131" s="517"/>
      <c r="F131" s="517"/>
      <c r="G131" s="538"/>
      <c r="H131" s="538"/>
      <c r="I131" s="538"/>
      <c r="J131" s="538"/>
      <c r="K131" s="538"/>
      <c r="L131" s="538"/>
      <c r="M131" s="539"/>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5" customWidth="1"/>
    <col min="2" max="2" width="15.77734375" style="355" customWidth="1"/>
    <col min="3" max="3" width="14.33203125" style="355" customWidth="1"/>
    <col min="4" max="4" width="12.21875" style="355" customWidth="1"/>
    <col min="5" max="5" width="14.33203125" style="355" customWidth="1"/>
    <col min="6" max="6" width="12.21875" style="355" customWidth="1"/>
    <col min="7" max="7" width="14.44140625" style="355" customWidth="1"/>
    <col min="8" max="8" width="12.21875" style="355" customWidth="1"/>
    <col min="9" max="9" width="14.44140625" style="355" customWidth="1"/>
    <col min="10" max="10" width="12.21875" style="355" customWidth="1"/>
    <col min="11" max="11" width="12.21875" style="442" customWidth="1"/>
    <col min="12" max="12" width="12.21875" style="443" customWidth="1"/>
    <col min="13" max="15" width="12.21875" style="355" customWidth="1"/>
    <col min="16" max="16" width="4.77734375" style="355" customWidth="1"/>
    <col min="17" max="17" width="19.44140625" style="355" customWidth="1"/>
    <col min="18" max="22" width="6.109375" style="355" customWidth="1"/>
    <col min="23" max="23" width="5.77734375" style="355" customWidth="1"/>
    <col min="24" max="24" width="4.21875" style="355" customWidth="1"/>
    <col min="25" max="25" width="3.44140625" style="355" customWidth="1"/>
    <col min="26" max="26" width="19.77734375" style="355" customWidth="1"/>
    <col min="27" max="28" width="9.33203125" style="355" customWidth="1"/>
    <col min="29" max="16384" width="9" style="355"/>
  </cols>
  <sheetData>
    <row r="1" spans="1:29" s="350" customFormat="1" ht="28.5" customHeight="1">
      <c r="A1" s="346" t="s">
        <v>1867</v>
      </c>
      <c r="B1" s="347"/>
      <c r="C1" s="348"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0" customFormat="1" ht="28.5" customHeight="1">
      <c r="A2" s="199" t="s">
        <v>1462</v>
      </c>
      <c r="B2" s="617" t="e">
        <f>F61</f>
        <v>#DIV/0!</v>
      </c>
      <c r="C2" s="905"/>
      <c r="D2" s="905"/>
      <c r="E2" s="905"/>
      <c r="F2" s="906"/>
      <c r="G2" s="905"/>
      <c r="H2" s="905"/>
      <c r="I2" s="905"/>
      <c r="J2" s="905"/>
      <c r="K2" s="907"/>
      <c r="L2" s="2731"/>
      <c r="M2" s="2732"/>
      <c r="N2" s="2732"/>
      <c r="O2" s="2732"/>
      <c r="P2" s="697"/>
      <c r="Q2" s="697"/>
      <c r="R2" s="697"/>
      <c r="S2" s="697"/>
      <c r="T2" s="697"/>
      <c r="U2" s="697"/>
      <c r="V2" s="697"/>
      <c r="W2" s="697"/>
      <c r="X2" s="697"/>
      <c r="Y2" s="697"/>
      <c r="Z2" s="697"/>
      <c r="AA2" s="697"/>
      <c r="AB2" s="697"/>
      <c r="AC2" s="698"/>
    </row>
    <row r="3" spans="1:29" s="350" customFormat="1" ht="28.5" customHeight="1" thickBot="1">
      <c r="A3" s="201" t="s">
        <v>1464</v>
      </c>
      <c r="B3" s="556" t="e">
        <f>ROUND(IF(D3="",B2*10000/'数据-汇总表'!E3,B2*10000/D3),0)</f>
        <v>#DIV/0!</v>
      </c>
      <c r="C3" s="201" t="s">
        <v>1869</v>
      </c>
      <c r="D3" s="1190"/>
      <c r="E3" s="905"/>
      <c r="F3" s="906"/>
      <c r="G3" s="905"/>
      <c r="H3" s="905"/>
      <c r="I3" s="905"/>
      <c r="J3" s="905"/>
      <c r="K3" s="907"/>
      <c r="L3" s="2731"/>
      <c r="M3" s="2732"/>
      <c r="N3" s="2732"/>
      <c r="O3" s="2732"/>
      <c r="P3" s="697"/>
      <c r="Q3" s="697"/>
      <c r="R3" s="697"/>
      <c r="S3" s="697"/>
      <c r="T3" s="697"/>
      <c r="U3" s="697"/>
      <c r="V3" s="697"/>
      <c r="W3" s="697"/>
      <c r="X3" s="697"/>
      <c r="Y3" s="697"/>
      <c r="Z3" s="697"/>
      <c r="AA3" s="697"/>
      <c r="AB3" s="714"/>
      <c r="AC3" s="711"/>
    </row>
    <row r="4" spans="1:29" ht="14.4">
      <c r="A4" s="353" t="s">
        <v>1769</v>
      </c>
      <c r="B4" s="354"/>
      <c r="C4" s="3709" t="s">
        <v>1770</v>
      </c>
      <c r="D4" s="3710"/>
      <c r="E4" s="3711" t="s">
        <v>1771</v>
      </c>
      <c r="F4" s="3712"/>
      <c r="G4" s="3709" t="s">
        <v>1772</v>
      </c>
      <c r="H4" s="3710"/>
      <c r="I4" s="3709" t="s">
        <v>1773</v>
      </c>
      <c r="J4" s="3710"/>
      <c r="K4" s="557" t="s">
        <v>1774</v>
      </c>
      <c r="L4" s="2712"/>
      <c r="M4" s="2713"/>
      <c r="N4" s="2713"/>
      <c r="O4" s="2713"/>
      <c r="P4" s="3713" t="s">
        <v>1775</v>
      </c>
      <c r="Q4" s="3714"/>
      <c r="R4" s="3719" t="s">
        <v>1771</v>
      </c>
      <c r="S4" s="3720"/>
      <c r="T4" s="3719" t="s">
        <v>1772</v>
      </c>
      <c r="U4" s="3720"/>
      <c r="V4" s="3725" t="s">
        <v>1773</v>
      </c>
      <c r="W4" s="3725"/>
      <c r="X4" s="1352"/>
      <c r="Y4" s="3719" t="s">
        <v>1775</v>
      </c>
      <c r="Z4" s="3720"/>
      <c r="AA4" s="3706" t="s">
        <v>1771</v>
      </c>
      <c r="AB4" s="3707" t="s">
        <v>1772</v>
      </c>
      <c r="AC4" s="3706" t="s">
        <v>1773</v>
      </c>
    </row>
    <row r="5" spans="1:29">
      <c r="A5" s="356"/>
      <c r="B5" s="357"/>
      <c r="C5" s="3728" t="s">
        <v>1673</v>
      </c>
      <c r="D5" s="3729"/>
      <c r="E5" s="3735" t="s">
        <v>1674</v>
      </c>
      <c r="F5" s="3736"/>
      <c r="G5" s="3728" t="s">
        <v>1675</v>
      </c>
      <c r="H5" s="3729"/>
      <c r="I5" s="3728" t="s">
        <v>1676</v>
      </c>
      <c r="J5" s="3729"/>
      <c r="K5" s="557"/>
      <c r="L5" s="2712"/>
      <c r="M5" s="2713"/>
      <c r="N5" s="2713"/>
      <c r="O5" s="2713"/>
      <c r="P5" s="3715"/>
      <c r="Q5" s="3716"/>
      <c r="R5" s="3721"/>
      <c r="S5" s="3722"/>
      <c r="T5" s="3721"/>
      <c r="U5" s="3722"/>
      <c r="V5" s="3725"/>
      <c r="W5" s="3725"/>
      <c r="X5" s="1352"/>
      <c r="Y5" s="3721"/>
      <c r="Z5" s="3722"/>
      <c r="AA5" s="3707"/>
      <c r="AB5" s="3707"/>
      <c r="AC5" s="3707"/>
    </row>
    <row r="6" spans="1:29" ht="15" thickBot="1">
      <c r="A6" s="358"/>
      <c r="B6" s="359"/>
      <c r="C6" s="3757" t="s">
        <v>1919</v>
      </c>
      <c r="D6" s="3758"/>
      <c r="E6" s="3759" t="s">
        <v>1919</v>
      </c>
      <c r="F6" s="3760"/>
      <c r="G6" s="3757" t="s">
        <v>1919</v>
      </c>
      <c r="H6" s="3758"/>
      <c r="I6" s="3757" t="s">
        <v>1919</v>
      </c>
      <c r="J6" s="3758"/>
      <c r="K6" s="557" t="s">
        <v>1678</v>
      </c>
      <c r="L6" s="2712"/>
      <c r="M6" s="2713"/>
      <c r="N6" s="2713"/>
      <c r="O6" s="2713"/>
      <c r="P6" s="3717"/>
      <c r="Q6" s="3718"/>
      <c r="R6" s="3721"/>
      <c r="S6" s="3722"/>
      <c r="T6" s="3723"/>
      <c r="U6" s="3724"/>
      <c r="V6" s="3725"/>
      <c r="W6" s="3725"/>
      <c r="X6" s="1352"/>
      <c r="Y6" s="3723"/>
      <c r="Z6" s="3724"/>
      <c r="AA6" s="3708"/>
      <c r="AB6" s="3708"/>
      <c r="AC6" s="3708"/>
    </row>
    <row r="7" spans="1:29" s="107" customFormat="1" ht="15" thickBot="1">
      <c r="A7" s="360" t="s">
        <v>1679</v>
      </c>
      <c r="B7" s="361"/>
      <c r="C7" s="362">
        <f>'数据-取费表'!B2</f>
        <v>44917</v>
      </c>
      <c r="D7" s="363">
        <v>100</v>
      </c>
      <c r="E7" s="364"/>
      <c r="F7" s="365">
        <f>SUMIF(65:65,YEAR(E7)&amp;"-"&amp;INT((MONTH(E7)+2)/3),66:66)</f>
        <v>0</v>
      </c>
      <c r="G7" s="1971"/>
      <c r="H7" s="363">
        <f>SUMIF(65:65,YEAR(G7)&amp;"-"&amp;INT((MONTH(G7)+2)/3),66:66)</f>
        <v>0</v>
      </c>
      <c r="I7" s="1971"/>
      <c r="J7" s="363">
        <f>SUMIF(65:65,YEAR(I7)&amp;"-"&amp;INT((MONTH(I7)+2)/3),66:66)</f>
        <v>0</v>
      </c>
      <c r="K7" s="558"/>
      <c r="L7" s="2714"/>
      <c r="M7" s="2715"/>
      <c r="N7" s="2715"/>
      <c r="O7" s="2715"/>
      <c r="P7" s="3730" t="s">
        <v>1680</v>
      </c>
      <c r="Q7" s="3732"/>
      <c r="R7" s="699" t="s">
        <v>14</v>
      </c>
      <c r="S7" s="700">
        <f t="shared" ref="S7:S15" si="0">F7</f>
        <v>0</v>
      </c>
      <c r="T7" s="699" t="s">
        <v>14</v>
      </c>
      <c r="U7" s="700">
        <f t="shared" ref="U7:U15" si="1">H7</f>
        <v>0</v>
      </c>
      <c r="V7" s="699" t="s">
        <v>14</v>
      </c>
      <c r="W7" s="700">
        <f t="shared" ref="W7:W15" si="2">J7</f>
        <v>0</v>
      </c>
      <c r="X7" s="701"/>
      <c r="Y7" s="3730" t="s">
        <v>1680</v>
      </c>
      <c r="Z7" s="3731"/>
      <c r="AA7" s="702" t="e">
        <f>D7/F7</f>
        <v>#DIV/0!</v>
      </c>
      <c r="AB7" s="702" t="e">
        <f>D7/H7</f>
        <v>#DIV/0!</v>
      </c>
      <c r="AC7" s="702" t="e">
        <f>D7/J7</f>
        <v>#DIV/0!</v>
      </c>
    </row>
    <row r="8" spans="1:29" s="107" customFormat="1" ht="1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14"/>
      <c r="M8" s="2715"/>
      <c r="N8" s="2715"/>
      <c r="O8" s="2715"/>
      <c r="P8" s="3730" t="s">
        <v>1683</v>
      </c>
      <c r="Q8" s="3731"/>
      <c r="R8" s="699" t="s">
        <v>14</v>
      </c>
      <c r="S8" s="700">
        <f t="shared" si="0"/>
        <v>0</v>
      </c>
      <c r="T8" s="699" t="s">
        <v>14</v>
      </c>
      <c r="U8" s="700">
        <f t="shared" si="1"/>
        <v>0</v>
      </c>
      <c r="V8" s="699" t="s">
        <v>14</v>
      </c>
      <c r="W8" s="700">
        <f t="shared" si="2"/>
        <v>0</v>
      </c>
      <c r="X8" s="701"/>
      <c r="Y8" s="3730" t="s">
        <v>1683</v>
      </c>
      <c r="Z8" s="3731"/>
      <c r="AA8" s="702" t="e">
        <f t="shared" ref="AA8:AA40" si="3">D8/F8</f>
        <v>#DIV/0!</v>
      </c>
      <c r="AB8" s="702" t="e">
        <f t="shared" ref="AB8:AB40" si="4">D8/H8</f>
        <v>#DIV/0!</v>
      </c>
      <c r="AC8" s="702" t="e">
        <f t="shared" ref="AC8:AC40" si="5">D8/J8</f>
        <v>#DIV/0!</v>
      </c>
    </row>
    <row r="9" spans="1:29" s="107" customFormat="1" ht="14.4">
      <c r="A9" s="367" t="s">
        <v>1684</v>
      </c>
      <c r="B9" s="63" t="s">
        <v>1685</v>
      </c>
      <c r="C9" s="1974"/>
      <c r="D9" s="124">
        <v>100</v>
      </c>
      <c r="E9" s="1974"/>
      <c r="F9" s="124">
        <f>SUMIF(70:70,E9,71:71)-SUMIF(70:70,C9,71:71)+100</f>
        <v>100</v>
      </c>
      <c r="G9" s="1974"/>
      <c r="H9" s="124">
        <f>SUMIF(70:70,G9,71:71)-SUMIF(70:70,C9,71:71)+100</f>
        <v>100</v>
      </c>
      <c r="I9" s="1974"/>
      <c r="J9" s="124">
        <f>SUMIF(70:70,I9,71:71)-SUMIF(70:70,C9,71:71)+100</f>
        <v>100</v>
      </c>
      <c r="K9" s="558"/>
      <c r="L9" s="2714"/>
      <c r="M9" s="2715"/>
      <c r="N9" s="2715"/>
      <c r="O9" s="2769"/>
      <c r="P9" s="3694" t="s">
        <v>1686</v>
      </c>
      <c r="Q9" s="1340" t="str">
        <f t="shared" ref="Q9:Q15" si="6">B9</f>
        <v>用途</v>
      </c>
      <c r="R9" s="699" t="s">
        <v>14</v>
      </c>
      <c r="S9" s="700">
        <f t="shared" si="0"/>
        <v>100</v>
      </c>
      <c r="T9" s="699" t="s">
        <v>14</v>
      </c>
      <c r="U9" s="700">
        <f t="shared" si="1"/>
        <v>100</v>
      </c>
      <c r="V9" s="699" t="s">
        <v>14</v>
      </c>
      <c r="W9" s="700">
        <f t="shared" si="2"/>
        <v>100</v>
      </c>
      <c r="X9" s="701"/>
      <c r="Y9" s="3550" t="s">
        <v>1687</v>
      </c>
      <c r="Z9" s="52" t="str">
        <f t="shared" ref="Z9:Z15" si="7">Q9</f>
        <v>用途</v>
      </c>
      <c r="AA9" s="702">
        <f t="shared" si="3"/>
        <v>1</v>
      </c>
      <c r="AB9" s="702">
        <f t="shared" si="4"/>
        <v>1</v>
      </c>
      <c r="AC9" s="702">
        <f t="shared" si="5"/>
        <v>1</v>
      </c>
    </row>
    <row r="10" spans="1:29" s="376" customFormat="1" ht="28.8">
      <c r="A10" s="372"/>
      <c r="B10" s="373" t="s">
        <v>1688</v>
      </c>
      <c r="C10" s="381"/>
      <c r="D10" s="125">
        <v>100</v>
      </c>
      <c r="E10" s="381"/>
      <c r="F10" s="125">
        <f>ROUND(100/'数据-取费表'!G16,0)</f>
        <v>140</v>
      </c>
      <c r="G10" s="381"/>
      <c r="H10" s="125">
        <f>ROUND(100/'数据-取费表'!G16,0)</f>
        <v>140</v>
      </c>
      <c r="I10" s="381"/>
      <c r="J10" s="125">
        <f>ROUND(100/'数据-取费表'!G16,0)</f>
        <v>140</v>
      </c>
      <c r="K10" s="618"/>
      <c r="L10" s="2716"/>
      <c r="M10" s="2717"/>
      <c r="N10" s="2717"/>
      <c r="O10" s="2770"/>
      <c r="P10" s="3694"/>
      <c r="Q10" s="1340" t="str">
        <f t="shared" si="6"/>
        <v>土地使用年限（年）</v>
      </c>
      <c r="R10" s="699" t="s">
        <v>14</v>
      </c>
      <c r="S10" s="700">
        <f t="shared" si="0"/>
        <v>140</v>
      </c>
      <c r="T10" s="699" t="s">
        <v>14</v>
      </c>
      <c r="U10" s="700">
        <f t="shared" si="1"/>
        <v>140</v>
      </c>
      <c r="V10" s="699" t="s">
        <v>14</v>
      </c>
      <c r="W10" s="700">
        <f t="shared" si="2"/>
        <v>140</v>
      </c>
      <c r="X10" s="701"/>
      <c r="Y10" s="3550"/>
      <c r="Z10" s="52" t="str">
        <f t="shared" si="7"/>
        <v>土地使用年限（年）</v>
      </c>
      <c r="AA10" s="702">
        <f t="shared" si="3"/>
        <v>0.7142857142857143</v>
      </c>
      <c r="AB10" s="702">
        <f t="shared" si="4"/>
        <v>0.7142857142857143</v>
      </c>
      <c r="AC10" s="702">
        <f t="shared" si="5"/>
        <v>0.7142857142857143</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8"/>
      <c r="M11" s="2713"/>
      <c r="N11" s="2713"/>
      <c r="O11" s="2771"/>
      <c r="P11" s="3694"/>
      <c r="Q11" s="1340" t="str">
        <f t="shared" si="6"/>
        <v>容积率</v>
      </c>
      <c r="R11" s="699" t="s">
        <v>14</v>
      </c>
      <c r="S11" s="700" t="e">
        <f t="shared" si="0"/>
        <v>#N/A</v>
      </c>
      <c r="T11" s="699" t="s">
        <v>14</v>
      </c>
      <c r="U11" s="700" t="e">
        <f t="shared" si="1"/>
        <v>#N/A</v>
      </c>
      <c r="V11" s="699" t="s">
        <v>14</v>
      </c>
      <c r="W11" s="700" t="e">
        <f t="shared" si="2"/>
        <v>#N/A</v>
      </c>
      <c r="X11" s="701"/>
      <c r="Y11" s="3550"/>
      <c r="Z11" s="52" t="str">
        <f t="shared" si="7"/>
        <v>容积率</v>
      </c>
      <c r="AA11" s="702" t="e">
        <f t="shared" si="3"/>
        <v>#N/A</v>
      </c>
      <c r="AB11" s="702" t="e">
        <f t="shared" si="4"/>
        <v>#N/A</v>
      </c>
      <c r="AC11" s="702" t="e">
        <f t="shared" si="5"/>
        <v>#N/A</v>
      </c>
    </row>
    <row r="12" spans="1:29" s="107" customFormat="1" ht="15">
      <c r="A12" s="380"/>
      <c r="B12" s="1890">
        <v>111</v>
      </c>
      <c r="C12" s="381"/>
      <c r="D12" s="382">
        <v>100</v>
      </c>
      <c r="E12" s="496"/>
      <c r="F12" s="125">
        <f>SUMIF(77:77,E12,78:78)-SUMIF(77:77,C12,78:78)+100</f>
        <v>100</v>
      </c>
      <c r="G12" s="620"/>
      <c r="H12" s="125">
        <f>SUMIF(77:77,G12,78:78)-SUMIF(77:77,C12,78:78)+100</f>
        <v>100</v>
      </c>
      <c r="I12" s="496"/>
      <c r="J12" s="125">
        <f>SUMIF(77:77,I12,78:78)-SUMIF(77:77,C12,78:78)+100</f>
        <v>100</v>
      </c>
      <c r="K12" s="618"/>
      <c r="L12" s="2714"/>
      <c r="M12" s="2715"/>
      <c r="N12" s="2715"/>
      <c r="O12" s="2769"/>
      <c r="P12" s="3694"/>
      <c r="Q12" s="1340">
        <f t="shared" si="6"/>
        <v>111</v>
      </c>
      <c r="R12" s="699" t="s">
        <v>14</v>
      </c>
      <c r="S12" s="700">
        <f t="shared" si="0"/>
        <v>100</v>
      </c>
      <c r="T12" s="699" t="s">
        <v>14</v>
      </c>
      <c r="U12" s="700">
        <f t="shared" si="1"/>
        <v>100</v>
      </c>
      <c r="V12" s="699" t="s">
        <v>14</v>
      </c>
      <c r="W12" s="700">
        <f t="shared" si="2"/>
        <v>100</v>
      </c>
      <c r="X12" s="701"/>
      <c r="Y12" s="3550"/>
      <c r="Z12" s="52">
        <f t="shared" si="7"/>
        <v>111</v>
      </c>
      <c r="AA12" s="702">
        <f>D12/F12</f>
        <v>1</v>
      </c>
      <c r="AB12" s="702">
        <f>D12/H12</f>
        <v>1</v>
      </c>
      <c r="AC12" s="702">
        <f>D12/J12</f>
        <v>1</v>
      </c>
    </row>
    <row r="13" spans="1:29" ht="15">
      <c r="A13" s="377"/>
      <c r="B13" s="1890">
        <v>111</v>
      </c>
      <c r="C13" s="383"/>
      <c r="D13" s="384">
        <v>100</v>
      </c>
      <c r="E13" s="496"/>
      <c r="F13" s="125">
        <f>SUMIF(79:79,E13,80:80)-SUMIF(79:79,C13,80:80)+100</f>
        <v>100</v>
      </c>
      <c r="G13" s="620"/>
      <c r="H13" s="384">
        <f>SUMIF(79:79,G13,80:80)-SUMIF(79:79,C13,80:80)+100</f>
        <v>100</v>
      </c>
      <c r="I13" s="496"/>
      <c r="J13" s="384">
        <f>SUMIF(79:79,I13,80:80)-SUMIF(79:79,C13,80:80)+100</f>
        <v>100</v>
      </c>
      <c r="K13" s="618"/>
      <c r="L13" s="2719"/>
      <c r="M13" s="2713"/>
      <c r="N13" s="2713"/>
      <c r="O13" s="2771"/>
      <c r="P13" s="3694"/>
      <c r="Q13" s="1340">
        <f t="shared" si="6"/>
        <v>111</v>
      </c>
      <c r="R13" s="699" t="s">
        <v>14</v>
      </c>
      <c r="S13" s="700">
        <f t="shared" si="0"/>
        <v>100</v>
      </c>
      <c r="T13" s="699" t="s">
        <v>14</v>
      </c>
      <c r="U13" s="700">
        <f t="shared" si="1"/>
        <v>100</v>
      </c>
      <c r="V13" s="699" t="s">
        <v>14</v>
      </c>
      <c r="W13" s="700">
        <f t="shared" si="2"/>
        <v>100</v>
      </c>
      <c r="X13" s="701"/>
      <c r="Y13" s="3550"/>
      <c r="Z13" s="52">
        <f t="shared" si="7"/>
        <v>111</v>
      </c>
      <c r="AA13" s="702">
        <f t="shared" si="3"/>
        <v>1</v>
      </c>
      <c r="AB13" s="702">
        <f t="shared" si="4"/>
        <v>1</v>
      </c>
      <c r="AC13" s="702">
        <f t="shared" si="5"/>
        <v>1</v>
      </c>
    </row>
    <row r="14" spans="1:29" ht="15.6" thickBot="1">
      <c r="A14" s="385"/>
      <c r="B14" s="1892">
        <v>111</v>
      </c>
      <c r="C14" s="386"/>
      <c r="D14" s="387">
        <v>100</v>
      </c>
      <c r="E14" s="496"/>
      <c r="F14" s="387">
        <f>SUMIF(81:81,E14,82:82)-SUMIF(81:81,C14,82:82)+100</f>
        <v>100</v>
      </c>
      <c r="G14" s="620"/>
      <c r="H14" s="387">
        <f>SUMIF(81:81,G14,82:82)-SUMIF(81:81,C14,82:82)+100</f>
        <v>100</v>
      </c>
      <c r="I14" s="496"/>
      <c r="J14" s="387">
        <f>SUMIF(81:81,I14,82:82)-SUMIF(81:81,C14,82:82)+100</f>
        <v>100</v>
      </c>
      <c r="K14" s="618"/>
      <c r="L14" s="2719"/>
      <c r="M14" s="2713"/>
      <c r="N14" s="2713"/>
      <c r="O14" s="2771"/>
      <c r="P14" s="3694"/>
      <c r="Q14" s="1340">
        <f t="shared" si="6"/>
        <v>111</v>
      </c>
      <c r="R14" s="699" t="s">
        <v>14</v>
      </c>
      <c r="S14" s="700">
        <f t="shared" si="0"/>
        <v>100</v>
      </c>
      <c r="T14" s="699" t="s">
        <v>14</v>
      </c>
      <c r="U14" s="700">
        <f t="shared" si="1"/>
        <v>100</v>
      </c>
      <c r="V14" s="699" t="s">
        <v>14</v>
      </c>
      <c r="W14" s="700">
        <f t="shared" si="2"/>
        <v>100</v>
      </c>
      <c r="X14" s="701"/>
      <c r="Y14" s="3550"/>
      <c r="Z14" s="52">
        <f t="shared" si="7"/>
        <v>111</v>
      </c>
      <c r="AA14" s="702">
        <f t="shared" si="3"/>
        <v>1</v>
      </c>
      <c r="AB14" s="702">
        <f t="shared" si="4"/>
        <v>1</v>
      </c>
      <c r="AC14" s="702">
        <f t="shared" si="5"/>
        <v>1</v>
      </c>
    </row>
    <row r="15" spans="1:29" ht="69">
      <c r="A15" s="389" t="s">
        <v>1690</v>
      </c>
      <c r="B15" s="575" t="s">
        <v>1920</v>
      </c>
      <c r="C15" s="1968"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719"/>
      <c r="M15" s="2713"/>
      <c r="N15" s="2713"/>
      <c r="O15" s="2771"/>
      <c r="P15" s="3696" t="s">
        <v>1691</v>
      </c>
      <c r="Q15" s="1349" t="str">
        <f t="shared" si="6"/>
        <v>产业集聚程度</v>
      </c>
      <c r="R15" s="703" t="s">
        <v>14</v>
      </c>
      <c r="S15" s="704">
        <f t="shared" si="0"/>
        <v>100</v>
      </c>
      <c r="T15" s="703" t="s">
        <v>14</v>
      </c>
      <c r="U15" s="704">
        <f t="shared" si="1"/>
        <v>100</v>
      </c>
      <c r="V15" s="703" t="s">
        <v>14</v>
      </c>
      <c r="W15" s="704">
        <f t="shared" si="2"/>
        <v>100</v>
      </c>
      <c r="X15" s="1352"/>
      <c r="Y15" s="3696" t="s">
        <v>1691</v>
      </c>
      <c r="Z15" s="1353" t="str">
        <f t="shared" si="7"/>
        <v>产业集聚程度</v>
      </c>
      <c r="AA15" s="1350">
        <f t="shared" si="3"/>
        <v>1</v>
      </c>
      <c r="AB15" s="1350">
        <f t="shared" si="4"/>
        <v>1</v>
      </c>
      <c r="AC15" s="1350">
        <f t="shared" si="5"/>
        <v>1</v>
      </c>
    </row>
    <row r="16" spans="1:29" ht="15">
      <c r="A16" s="377"/>
      <c r="B16" s="576"/>
      <c r="C16" s="396"/>
      <c r="D16" s="397"/>
      <c r="E16" s="1901"/>
      <c r="F16" s="397"/>
      <c r="G16" s="1901"/>
      <c r="H16" s="399"/>
      <c r="I16" s="1901"/>
      <c r="J16" s="397"/>
      <c r="K16" s="618"/>
      <c r="L16" s="2719"/>
      <c r="M16" s="2713"/>
      <c r="N16" s="2713"/>
      <c r="O16" s="2771"/>
      <c r="P16" s="3697"/>
      <c r="Q16" s="1349"/>
      <c r="R16" s="703"/>
      <c r="S16" s="704"/>
      <c r="T16" s="703"/>
      <c r="U16" s="704"/>
      <c r="V16" s="703"/>
      <c r="W16" s="704"/>
      <c r="X16" s="1352"/>
      <c r="Y16" s="3697"/>
      <c r="Z16" s="1353"/>
      <c r="AA16" s="1350">
        <v>1</v>
      </c>
      <c r="AB16" s="1350">
        <v>1</v>
      </c>
      <c r="AC16" s="1350">
        <v>1</v>
      </c>
    </row>
    <row r="17" spans="1:29" ht="96.6">
      <c r="A17" s="377"/>
      <c r="B17" s="577" t="s">
        <v>1833</v>
      </c>
      <c r="C17" s="1897"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719"/>
      <c r="M17" s="2713"/>
      <c r="N17" s="2713"/>
      <c r="O17" s="2771"/>
      <c r="P17" s="3697"/>
      <c r="Q17" s="1349" t="str">
        <f>B17</f>
        <v>交通便捷度</v>
      </c>
      <c r="R17" s="703" t="s">
        <v>14</v>
      </c>
      <c r="S17" s="704">
        <f>F17</f>
        <v>100</v>
      </c>
      <c r="T17" s="703" t="s">
        <v>14</v>
      </c>
      <c r="U17" s="704">
        <f>H17</f>
        <v>100</v>
      </c>
      <c r="V17" s="703" t="s">
        <v>14</v>
      </c>
      <c r="W17" s="704">
        <f>J17</f>
        <v>100</v>
      </c>
      <c r="X17" s="1352"/>
      <c r="Y17" s="3697"/>
      <c r="Z17" s="1353" t="str">
        <f>Q17</f>
        <v>交通便捷度</v>
      </c>
      <c r="AA17" s="1350">
        <f t="shared" si="3"/>
        <v>1</v>
      </c>
      <c r="AB17" s="1350">
        <f t="shared" si="4"/>
        <v>1</v>
      </c>
      <c r="AC17" s="1350">
        <f t="shared" si="5"/>
        <v>1</v>
      </c>
    </row>
    <row r="18" spans="1:29" ht="15">
      <c r="A18" s="377"/>
      <c r="B18" s="578"/>
      <c r="C18" s="396"/>
      <c r="D18" s="397"/>
      <c r="E18" s="1895"/>
      <c r="F18" s="397"/>
      <c r="G18" s="1895"/>
      <c r="H18" s="397"/>
      <c r="I18" s="1894"/>
      <c r="J18" s="397"/>
      <c r="K18" s="618"/>
      <c r="L18" s="2719"/>
      <c r="M18" s="2713"/>
      <c r="N18" s="2713"/>
      <c r="O18" s="2771"/>
      <c r="P18" s="3697"/>
      <c r="Q18" s="1349"/>
      <c r="R18" s="703"/>
      <c r="S18" s="704"/>
      <c r="T18" s="703"/>
      <c r="U18" s="704"/>
      <c r="V18" s="703"/>
      <c r="W18" s="704"/>
      <c r="X18" s="1352"/>
      <c r="Y18" s="3697"/>
      <c r="Z18" s="1353"/>
      <c r="AA18" s="1350">
        <v>1</v>
      </c>
      <c r="AB18" s="1350">
        <v>1</v>
      </c>
      <c r="AC18" s="1350">
        <v>1</v>
      </c>
    </row>
    <row r="19" spans="1:29" ht="28.8">
      <c r="A19" s="377"/>
      <c r="B19" s="577" t="s">
        <v>1871</v>
      </c>
      <c r="C19" s="1897">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9"/>
      <c r="M19" s="2713"/>
      <c r="N19" s="2713"/>
      <c r="O19" s="2771"/>
      <c r="P19" s="3697"/>
      <c r="Q19" s="1349" t="str">
        <f t="shared" ref="Q19:Q33" si="8">B19</f>
        <v>区域土地利用方向</v>
      </c>
      <c r="R19" s="703" t="s">
        <v>14</v>
      </c>
      <c r="S19" s="704">
        <f>F19</f>
        <v>100</v>
      </c>
      <c r="T19" s="703" t="s">
        <v>14</v>
      </c>
      <c r="U19" s="704">
        <f>H19</f>
        <v>100</v>
      </c>
      <c r="V19" s="703" t="s">
        <v>14</v>
      </c>
      <c r="W19" s="704">
        <f>J19</f>
        <v>100</v>
      </c>
      <c r="X19" s="1352"/>
      <c r="Y19" s="3697"/>
      <c r="Z19" s="1353" t="str">
        <f>Q19</f>
        <v>区域土地利用方向</v>
      </c>
      <c r="AA19" s="1350">
        <f t="shared" si="3"/>
        <v>1</v>
      </c>
      <c r="AB19" s="1350">
        <f t="shared" si="4"/>
        <v>1</v>
      </c>
      <c r="AC19" s="1350">
        <f t="shared" si="5"/>
        <v>1</v>
      </c>
    </row>
    <row r="20" spans="1:29" ht="15">
      <c r="A20" s="356"/>
      <c r="B20" s="578"/>
      <c r="C20" s="396"/>
      <c r="D20" s="397"/>
      <c r="E20" s="1895"/>
      <c r="F20" s="397"/>
      <c r="G20" s="1895"/>
      <c r="H20" s="397"/>
      <c r="I20" s="1895"/>
      <c r="J20" s="397"/>
      <c r="K20" s="738"/>
      <c r="L20" s="2719"/>
      <c r="M20" s="2713"/>
      <c r="N20" s="2713"/>
      <c r="O20" s="2771"/>
      <c r="P20" s="3697"/>
      <c r="Q20" s="1349"/>
      <c r="R20" s="703"/>
      <c r="S20" s="704"/>
      <c r="T20" s="703"/>
      <c r="U20" s="704"/>
      <c r="V20" s="703"/>
      <c r="W20" s="704"/>
      <c r="X20" s="1352"/>
      <c r="Y20" s="3697"/>
      <c r="Z20" s="1353"/>
      <c r="AA20" s="1350"/>
      <c r="AB20" s="1350"/>
      <c r="AC20" s="1350"/>
    </row>
    <row r="21" spans="1:29" ht="82.8">
      <c r="A21" s="356"/>
      <c r="B21" s="577" t="s">
        <v>1921</v>
      </c>
      <c r="C21" s="1897"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719"/>
      <c r="M21" s="2713"/>
      <c r="N21" s="2713"/>
      <c r="O21" s="2771"/>
      <c r="P21" s="3697"/>
      <c r="Q21" s="1349" t="str">
        <f t="shared" si="8"/>
        <v>环境状况</v>
      </c>
      <c r="R21" s="703" t="s">
        <v>14</v>
      </c>
      <c r="S21" s="704">
        <f>F21</f>
        <v>100</v>
      </c>
      <c r="T21" s="703" t="s">
        <v>14</v>
      </c>
      <c r="U21" s="704">
        <f>H21</f>
        <v>100</v>
      </c>
      <c r="V21" s="703" t="s">
        <v>14</v>
      </c>
      <c r="W21" s="704">
        <f>J21</f>
        <v>100</v>
      </c>
      <c r="X21" s="1352"/>
      <c r="Y21" s="3697"/>
      <c r="Z21" s="1353" t="str">
        <f>Q21</f>
        <v>环境状况</v>
      </c>
      <c r="AA21" s="1350">
        <f t="shared" si="3"/>
        <v>1</v>
      </c>
      <c r="AB21" s="1350">
        <f t="shared" si="4"/>
        <v>1</v>
      </c>
      <c r="AC21" s="1350">
        <f t="shared" si="5"/>
        <v>1</v>
      </c>
    </row>
    <row r="22" spans="1:29" ht="15">
      <c r="A22" s="356"/>
      <c r="B22" s="578"/>
      <c r="C22" s="396"/>
      <c r="D22" s="397"/>
      <c r="E22" s="1901"/>
      <c r="F22" s="397"/>
      <c r="G22" s="1901"/>
      <c r="H22" s="397"/>
      <c r="I22" s="396"/>
      <c r="J22" s="397"/>
      <c r="K22" s="618"/>
      <c r="L22" s="2719"/>
      <c r="M22" s="2713"/>
      <c r="N22" s="2713"/>
      <c r="O22" s="2771"/>
      <c r="P22" s="3697"/>
      <c r="Q22" s="1349"/>
      <c r="R22" s="703"/>
      <c r="S22" s="704"/>
      <c r="T22" s="703"/>
      <c r="U22" s="704"/>
      <c r="V22" s="703"/>
      <c r="W22" s="704"/>
      <c r="X22" s="1352"/>
      <c r="Y22" s="3697"/>
      <c r="Z22" s="1353"/>
      <c r="AA22" s="1350">
        <v>1</v>
      </c>
      <c r="AB22" s="1350">
        <v>1</v>
      </c>
      <c r="AC22" s="1350">
        <v>1</v>
      </c>
    </row>
    <row r="23" spans="1:29" s="107" customFormat="1" ht="41.4">
      <c r="A23" s="595"/>
      <c r="B23" s="579" t="s">
        <v>1778</v>
      </c>
      <c r="C23" s="1897"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714"/>
      <c r="M23" s="2715"/>
      <c r="N23" s="2715"/>
      <c r="O23" s="2769"/>
      <c r="P23" s="3697"/>
      <c r="Q23" s="1340" t="str">
        <f t="shared" si="8"/>
        <v>公共配套设施</v>
      </c>
      <c r="R23" s="699" t="s">
        <v>14</v>
      </c>
      <c r="S23" s="700">
        <f>F23</f>
        <v>100</v>
      </c>
      <c r="T23" s="699" t="s">
        <v>14</v>
      </c>
      <c r="U23" s="700">
        <f>H23</f>
        <v>100</v>
      </c>
      <c r="V23" s="699" t="s">
        <v>14</v>
      </c>
      <c r="W23" s="700">
        <f>J23</f>
        <v>100</v>
      </c>
      <c r="X23" s="701"/>
      <c r="Y23" s="3697"/>
      <c r="Z23" s="52" t="str">
        <f>Q23</f>
        <v>公共配套设施</v>
      </c>
      <c r="AA23" s="1350">
        <f>D23/F23</f>
        <v>1</v>
      </c>
      <c r="AB23" s="1350">
        <f>D23/H23</f>
        <v>1</v>
      </c>
      <c r="AC23" s="1350">
        <f>D23/J23</f>
        <v>1</v>
      </c>
    </row>
    <row r="24" spans="1:29" s="107" customFormat="1" ht="15">
      <c r="A24" s="595"/>
      <c r="B24" s="578"/>
      <c r="C24" s="1975"/>
      <c r="D24" s="397"/>
      <c r="E24" s="1901"/>
      <c r="F24" s="397"/>
      <c r="G24" s="1901"/>
      <c r="H24" s="397"/>
      <c r="I24" s="396"/>
      <c r="J24" s="397"/>
      <c r="K24" s="618"/>
      <c r="L24" s="2714"/>
      <c r="M24" s="2715"/>
      <c r="N24" s="2715"/>
      <c r="O24" s="2769"/>
      <c r="P24" s="3697"/>
      <c r="Q24" s="1340"/>
      <c r="R24" s="699"/>
      <c r="S24" s="700"/>
      <c r="T24" s="699"/>
      <c r="U24" s="700"/>
      <c r="V24" s="699"/>
      <c r="W24" s="700"/>
      <c r="X24" s="701"/>
      <c r="Y24" s="3697"/>
      <c r="Z24" s="52"/>
      <c r="AA24" s="702">
        <v>1</v>
      </c>
      <c r="AB24" s="702">
        <v>1</v>
      </c>
      <c r="AC24" s="702">
        <v>1</v>
      </c>
    </row>
    <row r="25" spans="1:29" s="107" customFormat="1" ht="41.4">
      <c r="A25" s="595"/>
      <c r="B25" s="579" t="s">
        <v>1779</v>
      </c>
      <c r="C25" s="1897"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714"/>
      <c r="M25" s="2715"/>
      <c r="N25" s="2715"/>
      <c r="O25" s="2769"/>
      <c r="P25" s="3697"/>
      <c r="Q25" s="1340" t="str">
        <f t="shared" ref="Q25" si="9">B25</f>
        <v>基础设施水平</v>
      </c>
      <c r="R25" s="699" t="s">
        <v>14</v>
      </c>
      <c r="S25" s="700">
        <f>F25</f>
        <v>100</v>
      </c>
      <c r="T25" s="699" t="s">
        <v>14</v>
      </c>
      <c r="U25" s="700">
        <f>H25</f>
        <v>100</v>
      </c>
      <c r="V25" s="699" t="s">
        <v>14</v>
      </c>
      <c r="W25" s="700">
        <f>J25</f>
        <v>100</v>
      </c>
      <c r="X25" s="701"/>
      <c r="Y25" s="3697"/>
      <c r="Z25" s="52" t="str">
        <f>Q25</f>
        <v>基础设施水平</v>
      </c>
      <c r="AA25" s="1350">
        <f>D25/F25</f>
        <v>1</v>
      </c>
      <c r="AB25" s="1350">
        <f>D25/H25</f>
        <v>1</v>
      </c>
      <c r="AC25" s="1350">
        <f>D25/J25</f>
        <v>1</v>
      </c>
    </row>
    <row r="26" spans="1:29" s="107" customFormat="1" ht="15">
      <c r="A26" s="595"/>
      <c r="B26" s="578"/>
      <c r="C26" s="1975"/>
      <c r="D26" s="397"/>
      <c r="E26" s="1976"/>
      <c r="F26" s="397"/>
      <c r="G26" s="1976"/>
      <c r="H26" s="397"/>
      <c r="I26" s="1976"/>
      <c r="J26" s="397"/>
      <c r="K26" s="618"/>
      <c r="L26" s="2714"/>
      <c r="M26" s="2715"/>
      <c r="N26" s="2715"/>
      <c r="O26" s="2769"/>
      <c r="P26" s="3697"/>
      <c r="Q26" s="1340"/>
      <c r="R26" s="699"/>
      <c r="S26" s="700"/>
      <c r="T26" s="699"/>
      <c r="U26" s="700"/>
      <c r="V26" s="699"/>
      <c r="W26" s="700"/>
      <c r="X26" s="701"/>
      <c r="Y26" s="3697"/>
      <c r="Z26" s="52"/>
      <c r="AA26" s="702">
        <v>1</v>
      </c>
      <c r="AB26" s="702">
        <v>1</v>
      </c>
      <c r="AC26" s="702">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19"/>
      <c r="M27" s="2713"/>
      <c r="N27" s="2713"/>
      <c r="O27" s="2771"/>
      <c r="P27" s="3697"/>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697"/>
      <c r="Z27" s="1353" t="str">
        <f t="shared" ref="Z27:Z40" si="13">Q27</f>
        <v>临街状况</v>
      </c>
      <c r="AA27" s="1350">
        <f t="shared" si="3"/>
        <v>1</v>
      </c>
      <c r="AB27" s="1350">
        <f t="shared" si="4"/>
        <v>1</v>
      </c>
      <c r="AC27" s="1350">
        <f t="shared" si="5"/>
        <v>1</v>
      </c>
    </row>
    <row r="28" spans="1:29" ht="28.8">
      <c r="A28" s="377"/>
      <c r="B28" s="579" t="s">
        <v>1815</v>
      </c>
      <c r="C28" s="1988">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9"/>
      <c r="M28" s="2713"/>
      <c r="N28" s="2713"/>
      <c r="O28" s="2771"/>
      <c r="P28" s="3697"/>
      <c r="Q28" s="1349" t="str">
        <f t="shared" si="8"/>
        <v>毗邻道路的类型与等级</v>
      </c>
      <c r="R28" s="703" t="s">
        <v>14</v>
      </c>
      <c r="S28" s="704">
        <f t="shared" si="10"/>
        <v>100</v>
      </c>
      <c r="T28" s="703" t="s">
        <v>14</v>
      </c>
      <c r="U28" s="704">
        <f t="shared" si="11"/>
        <v>100</v>
      </c>
      <c r="V28" s="703" t="s">
        <v>14</v>
      </c>
      <c r="W28" s="704">
        <f t="shared" si="12"/>
        <v>100</v>
      </c>
      <c r="X28" s="1352"/>
      <c r="Y28" s="3697"/>
      <c r="Z28" s="1353" t="str">
        <f t="shared" si="13"/>
        <v>毗邻道路的类型与等级</v>
      </c>
      <c r="AA28" s="1350">
        <f t="shared" si="3"/>
        <v>1</v>
      </c>
      <c r="AB28" s="1350">
        <f t="shared" si="4"/>
        <v>1</v>
      </c>
      <c r="AC28" s="1350">
        <f t="shared" si="5"/>
        <v>1</v>
      </c>
    </row>
    <row r="29" spans="1:29" ht="15">
      <c r="A29" s="377"/>
      <c r="B29" s="578"/>
      <c r="C29" s="396"/>
      <c r="D29" s="397"/>
      <c r="E29" s="1901"/>
      <c r="F29" s="397"/>
      <c r="G29" s="1901"/>
      <c r="H29" s="397"/>
      <c r="I29" s="1901"/>
      <c r="J29" s="397"/>
      <c r="K29" s="560"/>
      <c r="L29" s="2719"/>
      <c r="M29" s="2713"/>
      <c r="N29" s="2713"/>
      <c r="O29" s="2771"/>
      <c r="P29" s="3697"/>
      <c r="Q29" s="1349"/>
      <c r="R29" s="703"/>
      <c r="S29" s="704"/>
      <c r="T29" s="703"/>
      <c r="U29" s="704"/>
      <c r="V29" s="703"/>
      <c r="W29" s="704"/>
      <c r="X29" s="1352"/>
      <c r="Y29" s="3697"/>
      <c r="Z29" s="1353"/>
      <c r="AA29" s="1350">
        <v>1</v>
      </c>
      <c r="AB29" s="1350">
        <v>1</v>
      </c>
      <c r="AC29" s="1350">
        <v>1</v>
      </c>
    </row>
    <row r="30" spans="1:29" ht="15">
      <c r="A30" s="377"/>
      <c r="B30" s="600" t="s">
        <v>1873</v>
      </c>
      <c r="C30" s="1133">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9"/>
      <c r="M30" s="2713"/>
      <c r="N30" s="2713"/>
      <c r="O30" s="2771"/>
      <c r="P30" s="3697"/>
      <c r="Q30" s="1349" t="str">
        <f t="shared" si="8"/>
        <v>土地级别</v>
      </c>
      <c r="R30" s="703" t="s">
        <v>14</v>
      </c>
      <c r="S30" s="704">
        <f t="shared" si="10"/>
        <v>100</v>
      </c>
      <c r="T30" s="703" t="s">
        <v>14</v>
      </c>
      <c r="U30" s="704">
        <f t="shared" si="11"/>
        <v>100</v>
      </c>
      <c r="V30" s="703" t="s">
        <v>14</v>
      </c>
      <c r="W30" s="704">
        <f t="shared" si="12"/>
        <v>100</v>
      </c>
      <c r="X30" s="1352"/>
      <c r="Y30" s="3697"/>
      <c r="Z30" s="1353" t="str">
        <f t="shared" si="13"/>
        <v>土地级别</v>
      </c>
      <c r="AA30" s="1350">
        <f t="shared" si="3"/>
        <v>1</v>
      </c>
      <c r="AB30" s="1350">
        <f t="shared" si="4"/>
        <v>1</v>
      </c>
      <c r="AC30" s="1350">
        <f t="shared" si="5"/>
        <v>1</v>
      </c>
    </row>
    <row r="31" spans="1:29" ht="15">
      <c r="A31" s="356"/>
      <c r="B31" s="1963">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9"/>
      <c r="M31" s="2713"/>
      <c r="N31" s="2713"/>
      <c r="O31" s="2771"/>
      <c r="P31" s="3697"/>
      <c r="Q31" s="1349">
        <f t="shared" si="8"/>
        <v>111</v>
      </c>
      <c r="R31" s="703" t="s">
        <v>14</v>
      </c>
      <c r="S31" s="704">
        <f t="shared" si="10"/>
        <v>100</v>
      </c>
      <c r="T31" s="703" t="s">
        <v>14</v>
      </c>
      <c r="U31" s="704">
        <f t="shared" si="11"/>
        <v>100</v>
      </c>
      <c r="V31" s="703" t="s">
        <v>14</v>
      </c>
      <c r="W31" s="704">
        <f t="shared" si="12"/>
        <v>100</v>
      </c>
      <c r="X31" s="1352"/>
      <c r="Y31" s="3697"/>
      <c r="Z31" s="1353">
        <f t="shared" si="13"/>
        <v>111</v>
      </c>
      <c r="AA31" s="1350">
        <f t="shared" si="3"/>
        <v>1</v>
      </c>
      <c r="AB31" s="1350">
        <f t="shared" si="4"/>
        <v>1</v>
      </c>
      <c r="AC31" s="1350">
        <f t="shared" si="5"/>
        <v>1</v>
      </c>
    </row>
    <row r="32" spans="1:29" ht="15">
      <c r="A32" s="621"/>
      <c r="B32" s="1989">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9"/>
      <c r="M32" s="2713"/>
      <c r="N32" s="2713"/>
      <c r="O32" s="2771"/>
      <c r="P32" s="3752" t="s">
        <v>1696</v>
      </c>
      <c r="Q32" s="1349">
        <f t="shared" si="8"/>
        <v>111</v>
      </c>
      <c r="R32" s="703" t="s">
        <v>14</v>
      </c>
      <c r="S32" s="704">
        <f t="shared" si="10"/>
        <v>100</v>
      </c>
      <c r="T32" s="703" t="s">
        <v>14</v>
      </c>
      <c r="U32" s="704">
        <f t="shared" si="11"/>
        <v>100</v>
      </c>
      <c r="V32" s="703" t="s">
        <v>14</v>
      </c>
      <c r="W32" s="704">
        <f t="shared" si="12"/>
        <v>100</v>
      </c>
      <c r="X32" s="1352"/>
      <c r="Y32" s="3701" t="s">
        <v>1696</v>
      </c>
      <c r="Z32" s="1353">
        <f t="shared" si="13"/>
        <v>111</v>
      </c>
      <c r="AA32" s="1350">
        <f t="shared" si="3"/>
        <v>1</v>
      </c>
      <c r="AB32" s="1350">
        <f t="shared" si="4"/>
        <v>1</v>
      </c>
      <c r="AC32" s="1350">
        <f t="shared" si="5"/>
        <v>1</v>
      </c>
    </row>
    <row r="33" spans="1:31" s="420" customFormat="1" ht="15.6" thickBot="1">
      <c r="A33" s="622"/>
      <c r="B33" s="1990">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8"/>
      <c r="M33" s="2720"/>
      <c r="N33" s="2720"/>
      <c r="O33" s="2772"/>
      <c r="P33" s="3701"/>
      <c r="Q33" s="1349">
        <f t="shared" si="8"/>
        <v>111</v>
      </c>
      <c r="R33" s="706" t="s">
        <v>14</v>
      </c>
      <c r="S33" s="707">
        <f t="shared" si="10"/>
        <v>100</v>
      </c>
      <c r="T33" s="706" t="s">
        <v>14</v>
      </c>
      <c r="U33" s="707">
        <f t="shared" si="11"/>
        <v>100</v>
      </c>
      <c r="V33" s="706" t="s">
        <v>14</v>
      </c>
      <c r="W33" s="707">
        <f t="shared" si="12"/>
        <v>100</v>
      </c>
      <c r="X33" s="708"/>
      <c r="Y33" s="3701"/>
      <c r="Z33" s="709">
        <f t="shared" si="13"/>
        <v>111</v>
      </c>
      <c r="AA33" s="1350">
        <f t="shared" si="3"/>
        <v>1</v>
      </c>
      <c r="AB33" s="1350">
        <f t="shared" si="4"/>
        <v>1</v>
      </c>
      <c r="AC33" s="1350">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9"/>
      <c r="M34" s="2713"/>
      <c r="N34" s="2713"/>
      <c r="O34" s="2771"/>
      <c r="P34" s="3701"/>
      <c r="Q34" s="1349" t="str">
        <f>B34</f>
        <v>宗地面积</v>
      </c>
      <c r="R34" s="703" t="s">
        <v>14</v>
      </c>
      <c r="S34" s="704" t="e">
        <f t="shared" si="10"/>
        <v>#N/A</v>
      </c>
      <c r="T34" s="703" t="s">
        <v>14</v>
      </c>
      <c r="U34" s="704" t="e">
        <f t="shared" si="11"/>
        <v>#N/A</v>
      </c>
      <c r="V34" s="703" t="s">
        <v>14</v>
      </c>
      <c r="W34" s="704" t="e">
        <f t="shared" si="12"/>
        <v>#N/A</v>
      </c>
      <c r="X34" s="1352"/>
      <c r="Y34" s="3701"/>
      <c r="Z34" s="1353" t="str">
        <f t="shared" si="13"/>
        <v>宗地面积</v>
      </c>
      <c r="AA34" s="1350" t="e">
        <f t="shared" si="3"/>
        <v>#N/A</v>
      </c>
      <c r="AB34" s="1350" t="e">
        <f t="shared" si="4"/>
        <v>#N/A</v>
      </c>
      <c r="AC34" s="1350" t="e">
        <f t="shared" si="5"/>
        <v>#N/A</v>
      </c>
    </row>
    <row r="35" spans="1:31" ht="15">
      <c r="A35" s="421"/>
      <c r="B35" s="373" t="s">
        <v>1875</v>
      </c>
      <c r="C35" s="1903"/>
      <c r="D35" s="384">
        <v>100</v>
      </c>
      <c r="E35" s="1903"/>
      <c r="F35" s="384">
        <f>SUMIF(110:110,E35,111:111)-SUMIF(110:110,C35,111:111)+100</f>
        <v>100</v>
      </c>
      <c r="G35" s="1903"/>
      <c r="H35" s="384">
        <f>SUMIF(110:110,G35,111:111)-SUMIF(110:110,C35,111:111)+100</f>
        <v>100</v>
      </c>
      <c r="I35" s="1903"/>
      <c r="J35" s="384">
        <f>SUMIF(110:110,I35,111:111)-SUMIF(110:110,C35,111:111)+100</f>
        <v>100</v>
      </c>
      <c r="K35" s="559"/>
      <c r="L35" s="2719"/>
      <c r="M35" s="2713"/>
      <c r="N35" s="2713"/>
      <c r="O35" s="2771"/>
      <c r="P35" s="3701"/>
      <c r="Q35" s="1349" t="str">
        <f t="shared" ref="Q35:Q40" si="14">B35</f>
        <v>宗地形状</v>
      </c>
      <c r="R35" s="703" t="s">
        <v>14</v>
      </c>
      <c r="S35" s="704">
        <f t="shared" si="10"/>
        <v>100</v>
      </c>
      <c r="T35" s="703" t="s">
        <v>14</v>
      </c>
      <c r="U35" s="704">
        <f t="shared" si="11"/>
        <v>100</v>
      </c>
      <c r="V35" s="703" t="s">
        <v>14</v>
      </c>
      <c r="W35" s="704">
        <f t="shared" si="12"/>
        <v>100</v>
      </c>
      <c r="X35" s="1352"/>
      <c r="Y35" s="3701"/>
      <c r="Z35" s="1353" t="str">
        <f t="shared" si="13"/>
        <v>宗地形状</v>
      </c>
      <c r="AA35" s="1350">
        <f t="shared" si="3"/>
        <v>1</v>
      </c>
      <c r="AB35" s="1350">
        <f t="shared" si="4"/>
        <v>1</v>
      </c>
      <c r="AC35" s="1350">
        <f t="shared" si="5"/>
        <v>1</v>
      </c>
    </row>
    <row r="36" spans="1:31" s="107" customFormat="1" ht="15">
      <c r="A36" s="422"/>
      <c r="B36" s="373" t="s">
        <v>1877</v>
      </c>
      <c r="C36" s="1977"/>
      <c r="D36" s="125">
        <v>100</v>
      </c>
      <c r="E36" s="1977"/>
      <c r="F36" s="384">
        <f>SUMIF(112:112,E36,113:113)-SUMIF(112:112,C36,113:113)+100</f>
        <v>100</v>
      </c>
      <c r="G36" s="1977"/>
      <c r="H36" s="384">
        <f>SUMIF(112:112,G36,113:113)-SUMIF(112:112,C36,113:113)+100</f>
        <v>100</v>
      </c>
      <c r="I36" s="1977"/>
      <c r="J36" s="384">
        <f>SUMIF(112:112,I36,113:113)-SUMIF(112:112,C36,113:113)+100</f>
        <v>100</v>
      </c>
      <c r="K36" s="559"/>
      <c r="L36" s="2714"/>
      <c r="M36" s="2715"/>
      <c r="N36" s="2715"/>
      <c r="O36" s="2769"/>
      <c r="P36" s="3701"/>
      <c r="Q36" s="1349" t="str">
        <f t="shared" si="14"/>
        <v>宗地开发程度</v>
      </c>
      <c r="R36" s="699" t="s">
        <v>14</v>
      </c>
      <c r="S36" s="700">
        <f t="shared" si="10"/>
        <v>100</v>
      </c>
      <c r="T36" s="699" t="s">
        <v>14</v>
      </c>
      <c r="U36" s="700">
        <f t="shared" si="11"/>
        <v>100</v>
      </c>
      <c r="V36" s="699" t="s">
        <v>14</v>
      </c>
      <c r="W36" s="700">
        <f t="shared" si="12"/>
        <v>100</v>
      </c>
      <c r="X36" s="701"/>
      <c r="Y36" s="3701"/>
      <c r="Z36" s="52" t="str">
        <f t="shared" si="13"/>
        <v>宗地开发程度</v>
      </c>
      <c r="AA36" s="702">
        <f t="shared" si="3"/>
        <v>1</v>
      </c>
      <c r="AB36" s="702">
        <f t="shared" si="4"/>
        <v>1</v>
      </c>
      <c r="AC36" s="702">
        <f t="shared" si="5"/>
        <v>1</v>
      </c>
    </row>
    <row r="37" spans="1:31" ht="15">
      <c r="A37" s="421"/>
      <c r="B37" s="373" t="s">
        <v>1878</v>
      </c>
      <c r="C37" s="1903"/>
      <c r="D37" s="384">
        <v>100</v>
      </c>
      <c r="E37" s="1903"/>
      <c r="F37" s="384">
        <f>SUMIF(114:114,E37,115:115)-SUMIF(114:114,C37,115:115)+100</f>
        <v>100</v>
      </c>
      <c r="G37" s="1903"/>
      <c r="H37" s="384">
        <f>SUMIF(114:114,G37,115:115)-SUMIF(114:114,C37,115:115)+100</f>
        <v>100</v>
      </c>
      <c r="I37" s="1903"/>
      <c r="J37" s="384">
        <f>SUMIF(114:114,I37,115:115)-SUMIF(114:114,C37,115:115)+100</f>
        <v>100</v>
      </c>
      <c r="K37" s="559"/>
      <c r="L37" s="2719"/>
      <c r="M37" s="2713"/>
      <c r="N37" s="2713"/>
      <c r="O37" s="2771"/>
      <c r="P37" s="3701" t="s">
        <v>1696</v>
      </c>
      <c r="Q37" s="1349" t="str">
        <f t="shared" si="14"/>
        <v>工程地质条件</v>
      </c>
      <c r="R37" s="703" t="s">
        <v>14</v>
      </c>
      <c r="S37" s="704">
        <f t="shared" si="10"/>
        <v>100</v>
      </c>
      <c r="T37" s="703" t="s">
        <v>14</v>
      </c>
      <c r="U37" s="704">
        <f t="shared" si="11"/>
        <v>100</v>
      </c>
      <c r="V37" s="703" t="s">
        <v>14</v>
      </c>
      <c r="W37" s="704">
        <f t="shared" si="12"/>
        <v>100</v>
      </c>
      <c r="X37" s="1352"/>
      <c r="Y37" s="3701" t="s">
        <v>1696</v>
      </c>
      <c r="Z37" s="1353" t="str">
        <f t="shared" si="13"/>
        <v>工程地质条件</v>
      </c>
      <c r="AA37" s="1350">
        <f t="shared" si="3"/>
        <v>1</v>
      </c>
      <c r="AB37" s="1350">
        <f t="shared" si="4"/>
        <v>1</v>
      </c>
      <c r="AC37" s="1350">
        <f t="shared" si="5"/>
        <v>1</v>
      </c>
    </row>
    <row r="38" spans="1:31" ht="15">
      <c r="A38" s="421"/>
      <c r="B38" s="1131">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9"/>
      <c r="M38" s="2713"/>
      <c r="N38" s="2713"/>
      <c r="O38" s="2771"/>
      <c r="P38" s="3701"/>
      <c r="Q38" s="1349">
        <f t="shared" si="14"/>
        <v>111</v>
      </c>
      <c r="R38" s="703" t="s">
        <v>14</v>
      </c>
      <c r="S38" s="704">
        <f t="shared" si="10"/>
        <v>100</v>
      </c>
      <c r="T38" s="703" t="s">
        <v>14</v>
      </c>
      <c r="U38" s="704">
        <f t="shared" si="11"/>
        <v>100</v>
      </c>
      <c r="V38" s="703" t="s">
        <v>14</v>
      </c>
      <c r="W38" s="704">
        <f t="shared" si="12"/>
        <v>100</v>
      </c>
      <c r="X38" s="1352"/>
      <c r="Y38" s="3701"/>
      <c r="Z38" s="1353">
        <f t="shared" si="13"/>
        <v>111</v>
      </c>
      <c r="AA38" s="1350">
        <f t="shared" si="3"/>
        <v>1</v>
      </c>
      <c r="AB38" s="1350">
        <f t="shared" si="4"/>
        <v>1</v>
      </c>
      <c r="AC38" s="1350">
        <f t="shared" si="5"/>
        <v>1</v>
      </c>
    </row>
    <row r="39" spans="1:31" ht="15">
      <c r="A39" s="421"/>
      <c r="B39" s="1131">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9"/>
      <c r="M39" s="2713"/>
      <c r="N39" s="2713"/>
      <c r="O39" s="2771"/>
      <c r="P39" s="3701"/>
      <c r="Q39" s="1349">
        <f t="shared" si="14"/>
        <v>111</v>
      </c>
      <c r="R39" s="703" t="s">
        <v>14</v>
      </c>
      <c r="S39" s="704">
        <f t="shared" si="10"/>
        <v>100</v>
      </c>
      <c r="T39" s="703" t="s">
        <v>14</v>
      </c>
      <c r="U39" s="704">
        <f t="shared" si="11"/>
        <v>100</v>
      </c>
      <c r="V39" s="703" t="s">
        <v>14</v>
      </c>
      <c r="W39" s="704">
        <f t="shared" si="12"/>
        <v>100</v>
      </c>
      <c r="X39" s="1352"/>
      <c r="Y39" s="3701"/>
      <c r="Z39" s="1353">
        <f t="shared" si="13"/>
        <v>111</v>
      </c>
      <c r="AA39" s="1350">
        <f t="shared" si="3"/>
        <v>1</v>
      </c>
      <c r="AB39" s="1350">
        <f t="shared" si="4"/>
        <v>1</v>
      </c>
      <c r="AC39" s="1350">
        <f t="shared" si="5"/>
        <v>1</v>
      </c>
    </row>
    <row r="40" spans="1:31" s="420" customFormat="1" ht="15.6" thickBot="1">
      <c r="A40" s="417"/>
      <c r="B40" s="1131">
        <v>111</v>
      </c>
      <c r="C40" s="1978"/>
      <c r="D40" s="126">
        <v>100</v>
      </c>
      <c r="E40" s="620"/>
      <c r="F40" s="387">
        <f>SUMIF(120:120,E40,121:121)-SUMIF(120:120,C40,121:121)+100</f>
        <v>100</v>
      </c>
      <c r="G40" s="620"/>
      <c r="H40" s="387">
        <f>SUMIF(120:120,G40,121:121)-SUMIF(120:120,C40,121:121)+100</f>
        <v>100</v>
      </c>
      <c r="I40" s="496"/>
      <c r="J40" s="387">
        <f>SUMIF(120:120,I40,121:121)-SUMIF(120:120,C40,121:121)+100</f>
        <v>100</v>
      </c>
      <c r="K40" s="627"/>
      <c r="L40" s="2718"/>
      <c r="M40" s="2720"/>
      <c r="N40" s="2720"/>
      <c r="O40" s="2772"/>
      <c r="P40" s="3701"/>
      <c r="Q40" s="1349">
        <f t="shared" si="14"/>
        <v>111</v>
      </c>
      <c r="R40" s="706" t="s">
        <v>14</v>
      </c>
      <c r="S40" s="707">
        <f t="shared" si="10"/>
        <v>100</v>
      </c>
      <c r="T40" s="706" t="s">
        <v>14</v>
      </c>
      <c r="U40" s="707">
        <f t="shared" si="11"/>
        <v>100</v>
      </c>
      <c r="V40" s="706" t="s">
        <v>14</v>
      </c>
      <c r="W40" s="707">
        <f t="shared" si="12"/>
        <v>100</v>
      </c>
      <c r="X40" s="708"/>
      <c r="Y40" s="3701"/>
      <c r="Z40" s="709">
        <f t="shared" si="13"/>
        <v>111</v>
      </c>
      <c r="AA40" s="1350">
        <f t="shared" si="3"/>
        <v>1</v>
      </c>
      <c r="AB40" s="1350">
        <f t="shared" si="4"/>
        <v>1</v>
      </c>
      <c r="AC40" s="1350">
        <f t="shared" si="5"/>
        <v>1</v>
      </c>
    </row>
    <row r="41" spans="1:31" ht="14.4">
      <c r="A41" s="428" t="s">
        <v>1844</v>
      </c>
      <c r="B41" s="1979" t="s">
        <v>1922</v>
      </c>
      <c r="C41" s="628" t="s">
        <v>0</v>
      </c>
      <c r="D41" s="430"/>
      <c r="E41" s="431"/>
      <c r="F41" s="432"/>
      <c r="G41" s="433"/>
      <c r="H41" s="434"/>
      <c r="I41" s="431"/>
      <c r="J41" s="434"/>
      <c r="K41" s="712"/>
      <c r="L41" s="2721"/>
      <c r="M41" s="2713"/>
      <c r="N41" s="2713"/>
      <c r="O41" s="2722"/>
      <c r="P41" s="3694" t="str">
        <f>A41</f>
        <v>成交单价</v>
      </c>
      <c r="Q41" s="3694"/>
      <c r="R41" s="3725">
        <f>E41</f>
        <v>0</v>
      </c>
      <c r="S41" s="3725"/>
      <c r="T41" s="3725">
        <f>G41</f>
        <v>0</v>
      </c>
      <c r="U41" s="3725"/>
      <c r="V41" s="3725">
        <f>I41</f>
        <v>0</v>
      </c>
      <c r="W41" s="3725"/>
      <c r="X41" s="688"/>
      <c r="Y41" s="710"/>
      <c r="Z41" s="688"/>
      <c r="AA41" s="688"/>
      <c r="AB41" s="688"/>
      <c r="AC41" s="688"/>
    </row>
    <row r="42" spans="1:31" ht="15" thickBot="1">
      <c r="A42" s="435" t="s">
        <v>1793</v>
      </c>
      <c r="B42" s="629"/>
      <c r="C42" s="438" t="e">
        <f>R43</f>
        <v>#DIV/0!</v>
      </c>
      <c r="D42" s="2314" t="s">
        <v>2138</v>
      </c>
      <c r="E42" s="438" t="e">
        <f>R42</f>
        <v>#DIV/0!</v>
      </c>
      <c r="F42" s="2315"/>
      <c r="G42" s="437" t="e">
        <f>T42</f>
        <v>#DIV/0!</v>
      </c>
      <c r="H42" s="2315"/>
      <c r="I42" s="438" t="e">
        <f>V42</f>
        <v>#DIV/0!</v>
      </c>
      <c r="J42" s="2315"/>
      <c r="K42" s="2317">
        <f>F42+H42+J42</f>
        <v>0</v>
      </c>
      <c r="L42" s="2721"/>
      <c r="M42" s="2713"/>
      <c r="N42" s="2713"/>
      <c r="O42" s="2722"/>
      <c r="P42" s="3694" t="str">
        <f>A42</f>
        <v>比较价值（元/平方米）</v>
      </c>
      <c r="Q42" s="3694"/>
      <c r="R42" s="3754" t="e">
        <f>ROUND(PRODUCT(R41,AA7:AA40),0)</f>
        <v>#DIV/0!</v>
      </c>
      <c r="S42" s="3754"/>
      <c r="T42" s="3754" t="e">
        <f>ROUND(PRODUCT(T41,AB7:AB40),0)</f>
        <v>#DIV/0!</v>
      </c>
      <c r="U42" s="3754"/>
      <c r="V42" s="3754" t="e">
        <f>ROUND(PRODUCT(V41,AC7:AC40),0)</f>
        <v>#DIV/0!</v>
      </c>
      <c r="W42" s="3754"/>
      <c r="X42" s="688"/>
      <c r="Y42" s="688"/>
      <c r="Z42" s="688"/>
      <c r="AA42" s="688"/>
      <c r="AB42" s="688"/>
      <c r="AC42" s="688"/>
    </row>
    <row r="43" spans="1:31" ht="15" thickBot="1">
      <c r="A43" s="439" t="s">
        <v>1794</v>
      </c>
      <c r="B43" s="440"/>
      <c r="C43" s="441" t="e">
        <f>R43</f>
        <v>#DIV/0!</v>
      </c>
      <c r="D43" s="441"/>
      <c r="E43" s="441"/>
      <c r="F43" s="441"/>
      <c r="G43" s="441"/>
      <c r="H43" s="441"/>
      <c r="I43" s="441"/>
      <c r="J43" s="441"/>
      <c r="K43" s="713"/>
      <c r="L43" s="2721"/>
      <c r="M43" s="2713"/>
      <c r="N43" s="2713"/>
      <c r="O43" s="2722"/>
      <c r="P43" s="3691" t="str">
        <f>A43</f>
        <v>估价对象XX用房的比较价值（楼面单价，元/平方米）</v>
      </c>
      <c r="Q43" s="3692"/>
      <c r="R43" s="3755" t="e">
        <f>ROUND(IF(D42="简单平均",AVERAGE(R42:W42),R42*F42+T42*H42+V42*J42),0)</f>
        <v>#DIV/0!</v>
      </c>
      <c r="S43" s="3755"/>
      <c r="T43" s="3755"/>
      <c r="U43" s="3755"/>
      <c r="V43" s="3755"/>
      <c r="W43" s="3755"/>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49" customFormat="1" ht="13.5" customHeight="1">
      <c r="A48" s="2725"/>
      <c r="B48" s="2725"/>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49" customFormat="1" ht="14.4"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8.8">
      <c r="A50" s="630" t="s">
        <v>1881</v>
      </c>
      <c r="B50" s="631" t="s">
        <v>1882</v>
      </c>
      <c r="C50" s="1980" t="s">
        <v>1883</v>
      </c>
      <c r="D50" s="1981" t="s">
        <v>1884</v>
      </c>
      <c r="E50" s="632" t="s">
        <v>1885</v>
      </c>
      <c r="F50" s="633" t="s">
        <v>1886</v>
      </c>
      <c r="G50" s="3709" t="s">
        <v>1887</v>
      </c>
      <c r="H50" s="3756"/>
      <c r="I50" s="1353" t="s">
        <v>1923</v>
      </c>
      <c r="J50" s="1353">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8" customFormat="1">
      <c r="A51" s="634" t="s">
        <v>1890</v>
      </c>
      <c r="B51" s="635" t="e">
        <f>C43</f>
        <v>#DIV/0!</v>
      </c>
      <c r="C51" s="636">
        <v>1</v>
      </c>
      <c r="D51" s="941">
        <v>1</v>
      </c>
      <c r="E51" s="636">
        <f>'数据-汇总表'!E8+'数据-汇总表'!E9</f>
        <v>204.38</v>
      </c>
      <c r="F51" s="637" t="e">
        <f t="shared" ref="F51:F60" si="15">ROUND(B51*E51/10000,0)</f>
        <v>#DIV/0!</v>
      </c>
      <c r="G51" s="3705"/>
      <c r="H51" s="3694"/>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8" customFormat="1">
      <c r="A52" s="639" t="s">
        <v>1891</v>
      </c>
      <c r="B52" s="216" t="e">
        <f>ROUND($C$43*C52*D52,0)</f>
        <v>#DIV/0!</v>
      </c>
      <c r="C52" s="169">
        <f t="shared" ref="C52:C60" si="16">IF($C$50="北京市系数",I52,J52)</f>
        <v>0.6</v>
      </c>
      <c r="D52" s="942">
        <v>0.25</v>
      </c>
      <c r="E52" s="640"/>
      <c r="F52" s="637" t="e">
        <f t="shared" si="15"/>
        <v>#DIV/0!</v>
      </c>
      <c r="G52" s="3003" t="s">
        <v>1892</v>
      </c>
      <c r="H52" s="884" t="str">
        <f>项目基本情况!B37</f>
        <v>五级</v>
      </c>
      <c r="I52" s="771">
        <f>SUMIF(修正!A57:A68,H52,修正!B57:B68)</f>
        <v>0.6</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8" customFormat="1">
      <c r="A53" s="639" t="s">
        <v>1893</v>
      </c>
      <c r="B53" s="216" t="e">
        <f t="shared" ref="B53:B60" si="17">ROUND($C$43*C53*D53,0)</f>
        <v>#DIV/0!</v>
      </c>
      <c r="C53" s="169">
        <f t="shared" si="16"/>
        <v>0.3</v>
      </c>
      <c r="D53" s="942">
        <v>0.25</v>
      </c>
      <c r="E53" s="640"/>
      <c r="F53" s="637" t="e">
        <f t="shared" si="15"/>
        <v>#DIV/0!</v>
      </c>
      <c r="G53" s="3004"/>
      <c r="H53" s="884" t="str">
        <f>项目基本情况!B37</f>
        <v>五级</v>
      </c>
      <c r="I53" s="771">
        <f>SUMIF(修正!A57:A68,H53,修正!C57:C68)</f>
        <v>0.3</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8" customFormat="1">
      <c r="A54" s="639" t="s">
        <v>1894</v>
      </c>
      <c r="B54" s="216" t="e">
        <f t="shared" si="17"/>
        <v>#DIV/0!</v>
      </c>
      <c r="C54" s="169">
        <f t="shared" si="16"/>
        <v>0.25</v>
      </c>
      <c r="D54" s="942">
        <v>0.25</v>
      </c>
      <c r="E54" s="640"/>
      <c r="F54" s="637" t="e">
        <f t="shared" si="15"/>
        <v>#DIV/0!</v>
      </c>
      <c r="G54" s="3004"/>
      <c r="H54" s="884" t="str">
        <f>项目基本情况!B37</f>
        <v>五级</v>
      </c>
      <c r="I54" s="771">
        <f>SUMIF(修正!A57:A68,H54,修正!D57:D68)</f>
        <v>0.25</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8" customFormat="1" hidden="1">
      <c r="A55" s="639"/>
      <c r="B55" s="216"/>
      <c r="C55" s="169"/>
      <c r="D55" s="942"/>
      <c r="E55" s="640"/>
      <c r="F55" s="637"/>
      <c r="G55" s="3005"/>
      <c r="H55" s="884"/>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8" customFormat="1">
      <c r="A56" s="639" t="s">
        <v>1895</v>
      </c>
      <c r="B56" s="216" t="e">
        <f t="shared" si="17"/>
        <v>#DIV/0!</v>
      </c>
      <c r="C56" s="169">
        <f t="shared" si="16"/>
        <v>0</v>
      </c>
      <c r="D56" s="942">
        <v>0.25</v>
      </c>
      <c r="E56" s="215">
        <f>'数据-汇总表'!E11</f>
        <v>0</v>
      </c>
      <c r="F56" s="637" t="e">
        <f t="shared" si="15"/>
        <v>#DIV/0!</v>
      </c>
      <c r="G56" s="1984" t="s">
        <v>1896</v>
      </c>
      <c r="H56" s="884">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8" customFormat="1">
      <c r="A57" s="639" t="s">
        <v>1897</v>
      </c>
      <c r="B57" s="216" t="e">
        <f t="shared" si="17"/>
        <v>#DIV/0!</v>
      </c>
      <c r="C57" s="169">
        <f t="shared" si="16"/>
        <v>0</v>
      </c>
      <c r="D57" s="942">
        <v>0.25</v>
      </c>
      <c r="E57" s="215">
        <f>'数据-汇总表'!E12</f>
        <v>0</v>
      </c>
      <c r="F57" s="637" t="e">
        <f t="shared" si="15"/>
        <v>#DIV/0!</v>
      </c>
      <c r="G57" s="889" t="s">
        <v>1898</v>
      </c>
      <c r="H57" s="884">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8" customFormat="1">
      <c r="A58" s="639" t="s">
        <v>1899</v>
      </c>
      <c r="B58" s="216" t="e">
        <f t="shared" si="17"/>
        <v>#DIV/0!</v>
      </c>
      <c r="C58" s="169">
        <f t="shared" si="16"/>
        <v>0</v>
      </c>
      <c r="D58" s="942">
        <v>0.25</v>
      </c>
      <c r="E58" s="215">
        <f>'数据-汇总表'!E13</f>
        <v>0</v>
      </c>
      <c r="F58" s="637" t="e">
        <f t="shared" si="15"/>
        <v>#DIV/0!</v>
      </c>
      <c r="G58" s="889" t="s">
        <v>1900</v>
      </c>
      <c r="H58" s="884">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8" customFormat="1">
      <c r="A59" s="639" t="s">
        <v>1901</v>
      </c>
      <c r="B59" s="216" t="e">
        <f t="shared" si="17"/>
        <v>#DIV/0!</v>
      </c>
      <c r="C59" s="169">
        <f t="shared" si="16"/>
        <v>0.15</v>
      </c>
      <c r="D59" s="942">
        <v>0.25</v>
      </c>
      <c r="E59" s="215">
        <f>'数据-汇总表'!E14</f>
        <v>0</v>
      </c>
      <c r="F59" s="637" t="e">
        <f t="shared" si="15"/>
        <v>#DIV/0!</v>
      </c>
      <c r="G59" s="1984" t="s">
        <v>1892</v>
      </c>
      <c r="H59" s="884" t="str">
        <f>项目基本情况!B37</f>
        <v>五级</v>
      </c>
      <c r="I59" s="771">
        <f>SUMIF(修正!A57:A68,H59,修正!G57:G68)</f>
        <v>0.15</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8" customFormat="1" ht="14.4" thickBot="1">
      <c r="A60" s="639" t="s">
        <v>1902</v>
      </c>
      <c r="B60" s="216" t="e">
        <f t="shared" si="17"/>
        <v>#DIV/0!</v>
      </c>
      <c r="C60" s="169">
        <f t="shared" si="16"/>
        <v>0</v>
      </c>
      <c r="D60" s="942">
        <v>0.25</v>
      </c>
      <c r="E60" s="215">
        <f>'数据-汇总表'!E15</f>
        <v>0</v>
      </c>
      <c r="F60" s="637" t="e">
        <f t="shared" si="15"/>
        <v>#DIV/0!</v>
      </c>
      <c r="G60" s="1985" t="s">
        <v>1896</v>
      </c>
      <c r="H60" s="894">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8" customFormat="1" ht="14.4" thickBot="1">
      <c r="A61" s="641" t="s">
        <v>1903</v>
      </c>
      <c r="B61" s="642" t="s">
        <v>22</v>
      </c>
      <c r="C61" s="642" t="s">
        <v>23</v>
      </c>
      <c r="D61" s="642" t="s">
        <v>392</v>
      </c>
      <c r="E61" s="642">
        <f>IF(B41="楼面地价",SUM(E51:E60),'数据-汇总表'!D3)</f>
        <v>2229.4899999999998</v>
      </c>
      <c r="F61" s="643" t="e">
        <f>IF(B41="楼面地价",SUM(F51:F60),ROUND(C43*E61/10000,0))</f>
        <v>#DIV/0!</v>
      </c>
      <c r="G61" s="936"/>
      <c r="H61" s="936"/>
      <c r="I61" s="936"/>
      <c r="J61" s="936"/>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4"/>
      <c r="B62" s="926"/>
      <c r="C62" s="928"/>
      <c r="D62" s="924"/>
      <c r="E62" s="924"/>
      <c r="F62" s="924"/>
      <c r="G62" s="924"/>
      <c r="H62" s="924"/>
      <c r="I62" s="924"/>
      <c r="J62" s="924"/>
      <c r="K62" s="885"/>
      <c r="L62" s="886"/>
      <c r="M62" s="924"/>
      <c r="N62" s="924"/>
      <c r="O62" s="924"/>
      <c r="P62" s="2722"/>
      <c r="Q62" s="2722"/>
      <c r="R62" s="2722"/>
      <c r="S62" s="2722"/>
      <c r="T62" s="2722"/>
      <c r="U62" s="2722"/>
      <c r="V62" s="2722"/>
      <c r="W62" s="2722"/>
      <c r="X62" s="2722"/>
      <c r="Y62" s="2722"/>
      <c r="Z62" s="2722"/>
      <c r="AA62" s="2722"/>
      <c r="AB62" s="2722"/>
      <c r="AC62" s="2722"/>
      <c r="AD62" s="2722"/>
      <c r="AE62" s="2722"/>
    </row>
    <row r="63" spans="1:31">
      <c r="A63" s="924"/>
      <c r="B63" s="926"/>
      <c r="C63" s="690" t="str">
        <f>YEAR(C7)&amp;"-"&amp;MONTH(C7)&amp;"-1"</f>
        <v>2022-12-1</v>
      </c>
      <c r="D63" s="690">
        <f>EDATE(C63,-3)</f>
        <v>44805</v>
      </c>
      <c r="E63" s="690">
        <f>EDATE(D63,-3)</f>
        <v>44713</v>
      </c>
      <c r="F63" s="690">
        <f t="shared" ref="F63:O63" si="18">EDATE(E63,-3)</f>
        <v>44621</v>
      </c>
      <c r="G63" s="690">
        <f t="shared" si="18"/>
        <v>44531</v>
      </c>
      <c r="H63" s="690">
        <f t="shared" si="18"/>
        <v>44440</v>
      </c>
      <c r="I63" s="690">
        <f t="shared" si="18"/>
        <v>44348</v>
      </c>
      <c r="J63" s="690">
        <f t="shared" si="18"/>
        <v>44256</v>
      </c>
      <c r="K63" s="690">
        <f t="shared" si="18"/>
        <v>44166</v>
      </c>
      <c r="L63" s="690">
        <f t="shared" si="18"/>
        <v>44075</v>
      </c>
      <c r="M63" s="690">
        <f t="shared" si="18"/>
        <v>43983</v>
      </c>
      <c r="N63" s="690">
        <f t="shared" si="18"/>
        <v>43891</v>
      </c>
      <c r="O63" s="690">
        <f t="shared" si="18"/>
        <v>43800</v>
      </c>
      <c r="P63" s="2722"/>
      <c r="Q63" s="2722"/>
      <c r="R63" s="2722"/>
      <c r="S63" s="2722"/>
      <c r="T63" s="2722"/>
      <c r="U63" s="2722"/>
      <c r="V63" s="2722"/>
      <c r="W63" s="2722"/>
      <c r="X63" s="2722"/>
      <c r="Y63" s="2722"/>
      <c r="Z63" s="2722"/>
      <c r="AA63" s="2722"/>
      <c r="AB63" s="2722"/>
      <c r="AC63" s="2722"/>
      <c r="AD63" s="2722"/>
      <c r="AE63" s="2722"/>
    </row>
    <row r="64" spans="1:31" ht="22.2" thickBot="1">
      <c r="A64" s="692" t="s">
        <v>1798</v>
      </c>
      <c r="B64" s="688"/>
      <c r="C64" s="693"/>
      <c r="D64" s="693"/>
      <c r="E64" s="693"/>
      <c r="F64" s="694"/>
      <c r="G64" s="694"/>
      <c r="H64" s="693"/>
      <c r="I64" s="693"/>
      <c r="J64" s="693"/>
      <c r="K64" s="695"/>
      <c r="L64" s="696"/>
      <c r="M64" s="693"/>
      <c r="N64" s="693"/>
      <c r="O64" s="937"/>
      <c r="P64" s="2766"/>
      <c r="Q64" s="2736"/>
      <c r="R64" s="2722"/>
      <c r="S64" s="2722"/>
      <c r="T64" s="2722"/>
      <c r="U64" s="2722"/>
      <c r="V64" s="2722"/>
      <c r="W64" s="2722"/>
      <c r="X64" s="2722"/>
      <c r="Y64" s="2722"/>
      <c r="Z64" s="2722"/>
      <c r="AA64" s="2722"/>
      <c r="AB64" s="2722"/>
      <c r="AC64" s="2722"/>
      <c r="AD64" s="2722"/>
      <c r="AE64" s="2722"/>
    </row>
    <row r="65" spans="1:31" s="455" customFormat="1" ht="14.4">
      <c r="A65" s="1986" t="s">
        <v>1904</v>
      </c>
      <c r="B65" s="1106"/>
      <c r="C65" s="1179" t="str">
        <f>YEAR(C63)&amp;"-"&amp;ROUNDUP(MONTH(C63)/3,0)</f>
        <v>2022-4</v>
      </c>
      <c r="D65" s="1179" t="str">
        <f t="shared" ref="D65:O65" si="19">YEAR(D63)&amp;"-"&amp;ROUNDUP(MONTH(D63)/3,0)</f>
        <v>2022-3</v>
      </c>
      <c r="E65" s="1179" t="str">
        <f t="shared" si="19"/>
        <v>2022-2</v>
      </c>
      <c r="F65" s="1179" t="str">
        <f t="shared" si="19"/>
        <v>2022-1</v>
      </c>
      <c r="G65" s="1179" t="str">
        <f t="shared" si="19"/>
        <v>2021-4</v>
      </c>
      <c r="H65" s="1179" t="str">
        <f t="shared" si="19"/>
        <v>2021-3</v>
      </c>
      <c r="I65" s="1179" t="str">
        <f t="shared" si="19"/>
        <v>2021-2</v>
      </c>
      <c r="J65" s="1179" t="str">
        <f t="shared" si="19"/>
        <v>2021-1</v>
      </c>
      <c r="K65" s="1179" t="str">
        <f t="shared" si="19"/>
        <v>2020-4</v>
      </c>
      <c r="L65" s="1179" t="str">
        <f t="shared" si="19"/>
        <v>2020-3</v>
      </c>
      <c r="M65" s="1179" t="str">
        <f t="shared" si="19"/>
        <v>2020-2</v>
      </c>
      <c r="N65" s="1179" t="str">
        <f t="shared" si="19"/>
        <v>2020-1</v>
      </c>
      <c r="O65" s="1179" t="str">
        <f t="shared" si="19"/>
        <v>2019-4</v>
      </c>
      <c r="P65" s="2773"/>
      <c r="Q65" s="2738"/>
      <c r="R65" s="2738"/>
      <c r="S65" s="2738"/>
      <c r="T65" s="2738"/>
      <c r="U65" s="2738"/>
      <c r="V65" s="2738"/>
      <c r="W65" s="2738"/>
      <c r="X65" s="2738"/>
      <c r="Y65" s="2738"/>
      <c r="Z65" s="2738"/>
      <c r="AA65" s="2738"/>
      <c r="AB65" s="2738"/>
      <c r="AC65" s="2738"/>
      <c r="AD65" s="2738"/>
      <c r="AE65" s="2738"/>
    </row>
    <row r="66" spans="1:31" s="107" customFormat="1" ht="30.75" customHeight="1">
      <c r="A66" s="1991" t="s">
        <v>1924</v>
      </c>
      <c r="B66" s="286" t="str">
        <f>"北京市平均增长率"&amp;TEXT(基准地价修正!P28,"0.00%")</f>
        <v>北京市平均增长率1.10%</v>
      </c>
      <c r="C66" s="550">
        <v>100</v>
      </c>
      <c r="D66" s="542"/>
      <c r="E66" s="542"/>
      <c r="F66" s="542"/>
      <c r="G66" s="542"/>
      <c r="H66" s="542"/>
      <c r="I66" s="542"/>
      <c r="J66" s="542"/>
      <c r="K66" s="542"/>
      <c r="L66" s="542"/>
      <c r="M66" s="1175"/>
      <c r="N66" s="1175"/>
      <c r="O66" s="1177"/>
      <c r="P66" s="2736"/>
      <c r="Q66" s="2658"/>
      <c r="R66" s="2658"/>
      <c r="S66" s="2658"/>
      <c r="T66" s="2658"/>
      <c r="U66" s="2658"/>
      <c r="V66" s="2658"/>
      <c r="W66" s="2658"/>
      <c r="X66" s="2658"/>
      <c r="Y66" s="2658"/>
      <c r="Z66" s="2658"/>
      <c r="AA66" s="2658"/>
      <c r="AB66" s="2658"/>
      <c r="AC66" s="2658"/>
      <c r="AD66" s="2658"/>
      <c r="AE66" s="2658"/>
    </row>
    <row r="67" spans="1:31" s="107" customFormat="1" ht="15" thickBot="1">
      <c r="A67" s="462" t="s">
        <v>1716</v>
      </c>
      <c r="B67" s="463"/>
      <c r="C67" s="464"/>
      <c r="D67" s="465"/>
      <c r="E67" s="465"/>
      <c r="F67" s="465"/>
      <c r="G67" s="465"/>
      <c r="H67" s="465"/>
      <c r="I67" s="465"/>
      <c r="J67" s="465"/>
      <c r="K67" s="465"/>
      <c r="L67" s="465"/>
      <c r="M67" s="466"/>
      <c r="N67" s="466"/>
      <c r="O67" s="467"/>
      <c r="P67" s="2736"/>
      <c r="Q67" s="2736"/>
      <c r="R67" s="2658"/>
      <c r="S67" s="2658"/>
      <c r="T67" s="2658"/>
      <c r="U67" s="2658"/>
      <c r="V67" s="2658"/>
      <c r="W67" s="2658"/>
      <c r="X67" s="2658"/>
      <c r="Y67" s="2658"/>
      <c r="Z67" s="2658"/>
      <c r="AA67" s="2658"/>
      <c r="AB67" s="2658"/>
      <c r="AC67" s="2658"/>
      <c r="AD67" s="2658"/>
      <c r="AE67" s="2658"/>
    </row>
    <row r="68" spans="1:31" s="107" customFormat="1" ht="14.4">
      <c r="A68" s="468" t="s">
        <v>1681</v>
      </c>
      <c r="B68" s="457"/>
      <c r="C68" s="469" t="s">
        <v>1776</v>
      </c>
      <c r="D68" s="470"/>
      <c r="E68" s="470"/>
      <c r="F68" s="470"/>
      <c r="G68" s="470"/>
      <c r="H68" s="470"/>
      <c r="I68" s="470"/>
      <c r="J68" s="470"/>
      <c r="K68" s="470"/>
      <c r="L68" s="471"/>
      <c r="M68" s="472"/>
      <c r="N68" s="2749"/>
      <c r="O68" s="2749"/>
      <c r="P68" s="2774"/>
      <c r="Q68" s="2736"/>
      <c r="R68" s="2658"/>
      <c r="S68" s="2658"/>
      <c r="T68" s="2658"/>
      <c r="U68" s="2658"/>
      <c r="V68" s="2658"/>
      <c r="W68" s="2658"/>
      <c r="X68" s="2658"/>
      <c r="Y68" s="2658"/>
      <c r="Z68" s="2658"/>
      <c r="AA68" s="2658"/>
      <c r="AB68" s="2658"/>
      <c r="AC68" s="2658"/>
      <c r="AD68" s="2658"/>
      <c r="AE68" s="2658"/>
    </row>
    <row r="69" spans="1:31" s="107" customFormat="1" ht="14.4" thickBot="1">
      <c r="A69" s="468"/>
      <c r="B69" s="457"/>
      <c r="C69" s="585">
        <v>100</v>
      </c>
      <c r="D69" s="459"/>
      <c r="E69" s="459"/>
      <c r="F69" s="459"/>
      <c r="G69" s="459"/>
      <c r="H69" s="459"/>
      <c r="I69" s="459"/>
      <c r="J69" s="459"/>
      <c r="K69" s="459"/>
      <c r="L69" s="459"/>
      <c r="M69" s="461"/>
      <c r="N69" s="2749"/>
      <c r="O69" s="2749"/>
      <c r="P69" s="2736"/>
      <c r="Q69" s="2736"/>
      <c r="R69" s="2658"/>
      <c r="S69" s="2658"/>
      <c r="T69" s="2658"/>
      <c r="U69" s="2658"/>
      <c r="V69" s="2658"/>
      <c r="W69" s="2658"/>
      <c r="X69" s="2658"/>
      <c r="Y69" s="2658"/>
      <c r="Z69" s="2658"/>
      <c r="AA69" s="2658"/>
      <c r="AB69" s="2658"/>
      <c r="AC69" s="2658"/>
      <c r="AD69" s="2658"/>
      <c r="AE69" s="2658"/>
    </row>
    <row r="70" spans="1:31" ht="14.4">
      <c r="A70" s="474" t="s">
        <v>1719</v>
      </c>
      <c r="B70" s="475" t="s">
        <v>1685</v>
      </c>
      <c r="C70" s="477"/>
      <c r="D70" s="477"/>
      <c r="E70" s="477"/>
      <c r="F70" s="477"/>
      <c r="G70" s="477"/>
      <c r="H70" s="477"/>
      <c r="I70" s="477"/>
      <c r="J70" s="477"/>
      <c r="K70" s="478"/>
      <c r="L70" s="479"/>
      <c r="M70" s="480"/>
      <c r="N70" s="2750"/>
      <c r="O70" s="2750"/>
      <c r="P70" s="2775"/>
      <c r="Q70" s="2736"/>
      <c r="R70" s="2722"/>
      <c r="S70" s="2722"/>
      <c r="T70" s="2722"/>
      <c r="U70" s="2722"/>
      <c r="V70" s="2722"/>
      <c r="W70" s="2722"/>
      <c r="X70" s="2722"/>
      <c r="Y70" s="2722"/>
      <c r="Z70" s="2722"/>
      <c r="AA70" s="2722"/>
      <c r="AB70" s="2722"/>
      <c r="AC70" s="2722"/>
      <c r="AD70" s="2722"/>
      <c r="AE70" s="2722"/>
    </row>
    <row r="71" spans="1:31" ht="14.4" thickBot="1">
      <c r="A71" s="481"/>
      <c r="B71" s="482"/>
      <c r="C71" s="483"/>
      <c r="D71" s="483"/>
      <c r="E71" s="483"/>
      <c r="F71" s="483"/>
      <c r="G71" s="483"/>
      <c r="H71" s="483"/>
      <c r="I71" s="483"/>
      <c r="J71" s="483"/>
      <c r="K71" s="483"/>
      <c r="L71" s="483"/>
      <c r="M71" s="484"/>
      <c r="N71" s="2751"/>
      <c r="O71" s="2751"/>
      <c r="P71" s="2775"/>
      <c r="Q71" s="2736"/>
      <c r="R71" s="2722"/>
      <c r="S71" s="2722"/>
      <c r="T71" s="2722"/>
      <c r="U71" s="2722"/>
      <c r="V71" s="2722"/>
      <c r="W71" s="2722"/>
      <c r="X71" s="2722"/>
      <c r="Y71" s="2722"/>
      <c r="Z71" s="2722"/>
      <c r="AA71" s="2722"/>
      <c r="AB71" s="2722"/>
      <c r="AC71" s="2722"/>
      <c r="AD71" s="2722"/>
      <c r="AE71" s="2722"/>
    </row>
    <row r="72" spans="1:31" ht="29.4" thickTop="1">
      <c r="A72" s="481"/>
      <c r="B72" s="485" t="s">
        <v>1688</v>
      </c>
      <c r="C72" s="486"/>
      <c r="D72" s="486"/>
      <c r="E72" s="486"/>
      <c r="F72" s="486"/>
      <c r="G72" s="486"/>
      <c r="H72" s="486"/>
      <c r="I72" s="486"/>
      <c r="J72" s="486"/>
      <c r="K72" s="487"/>
      <c r="L72" s="488"/>
      <c r="M72" s="489"/>
      <c r="N72" s="2750"/>
      <c r="O72" s="2750"/>
      <c r="P72" s="2775"/>
      <c r="Q72" s="2736"/>
      <c r="R72" s="2722"/>
      <c r="S72" s="2722"/>
      <c r="T72" s="2722"/>
      <c r="U72" s="2722"/>
      <c r="V72" s="2722"/>
      <c r="W72" s="2722"/>
      <c r="X72" s="2722"/>
      <c r="Y72" s="2722"/>
      <c r="Z72" s="2722"/>
      <c r="AA72" s="2722"/>
      <c r="AB72" s="2722"/>
      <c r="AC72" s="2722"/>
      <c r="AD72" s="2722"/>
      <c r="AE72" s="2722"/>
    </row>
    <row r="73" spans="1:31" ht="14.4" thickBot="1">
      <c r="A73" s="481"/>
      <c r="B73" s="490"/>
      <c r="C73" s="491"/>
      <c r="D73" s="491"/>
      <c r="E73" s="491"/>
      <c r="F73" s="491"/>
      <c r="G73" s="491"/>
      <c r="H73" s="491"/>
      <c r="I73" s="491"/>
      <c r="J73" s="491"/>
      <c r="K73" s="491"/>
      <c r="L73" s="491"/>
      <c r="M73" s="492"/>
      <c r="N73" s="2751"/>
      <c r="O73" s="2751"/>
      <c r="P73" s="2775"/>
      <c r="Q73" s="2736"/>
      <c r="R73" s="2722"/>
      <c r="S73" s="2722"/>
      <c r="T73" s="2722"/>
      <c r="U73" s="2722"/>
      <c r="V73" s="2722"/>
      <c r="W73" s="2722"/>
      <c r="X73" s="2722"/>
      <c r="Y73" s="2722"/>
      <c r="Z73" s="2722"/>
      <c r="AA73" s="2722"/>
      <c r="AB73" s="2722"/>
      <c r="AC73" s="2722"/>
      <c r="AD73" s="2722"/>
      <c r="AE73" s="2722"/>
    </row>
    <row r="74" spans="1:31" ht="1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c r="A75" s="481"/>
      <c r="B75" s="495"/>
      <c r="C75" s="496"/>
      <c r="D75" s="496"/>
      <c r="E75" s="496"/>
      <c r="F75" s="496"/>
      <c r="G75" s="496"/>
      <c r="H75" s="496"/>
      <c r="I75" s="496"/>
      <c r="J75" s="496"/>
      <c r="K75" s="497"/>
      <c r="L75" s="498"/>
      <c r="M75" s="499"/>
      <c r="N75" s="2750"/>
      <c r="O75" s="2750"/>
      <c r="P75" s="2775"/>
      <c r="Q75" s="2736"/>
      <c r="R75" s="2722"/>
      <c r="S75" s="2722"/>
      <c r="T75" s="2722"/>
      <c r="U75" s="2722"/>
      <c r="V75" s="2722"/>
      <c r="W75" s="2722"/>
      <c r="X75" s="2722"/>
      <c r="Y75" s="2722"/>
      <c r="Z75" s="2722"/>
      <c r="AA75" s="2722"/>
      <c r="AB75" s="2722"/>
      <c r="AC75" s="2722"/>
      <c r="AD75" s="2722"/>
      <c r="AE75" s="2722"/>
    </row>
    <row r="76" spans="1:31" ht="14.4"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0" customFormat="1" ht="14.4" thickTop="1">
      <c r="A77" s="500"/>
      <c r="B77" s="485">
        <f>B12</f>
        <v>111</v>
      </c>
      <c r="C77" s="501"/>
      <c r="D77" s="501"/>
      <c r="E77" s="501"/>
      <c r="F77" s="501"/>
      <c r="G77" s="501"/>
      <c r="H77" s="502"/>
      <c r="I77" s="502"/>
      <c r="J77" s="502"/>
      <c r="K77" s="502"/>
      <c r="L77" s="503"/>
      <c r="M77" s="504"/>
      <c r="N77" s="2752"/>
      <c r="O77" s="2752"/>
      <c r="P77" s="2776"/>
      <c r="Q77" s="2743"/>
      <c r="R77" s="2744"/>
      <c r="S77" s="2744"/>
      <c r="T77" s="2744"/>
      <c r="U77" s="2744"/>
      <c r="V77" s="2744"/>
      <c r="W77" s="2744"/>
      <c r="X77" s="2744"/>
      <c r="Y77" s="2744"/>
      <c r="Z77" s="2744"/>
      <c r="AA77" s="2744"/>
      <c r="AB77" s="2744"/>
      <c r="AC77" s="2744"/>
      <c r="AD77" s="2744"/>
      <c r="AE77" s="2744"/>
    </row>
    <row r="78" spans="1:31" s="420" customFormat="1" ht="14.4" thickBot="1">
      <c r="A78" s="500"/>
      <c r="B78" s="490"/>
      <c r="C78" s="507"/>
      <c r="D78" s="483"/>
      <c r="E78" s="483"/>
      <c r="F78" s="483"/>
      <c r="G78" s="483"/>
      <c r="H78" s="483"/>
      <c r="I78" s="483"/>
      <c r="J78" s="483"/>
      <c r="K78" s="483"/>
      <c r="L78" s="483"/>
      <c r="M78" s="484"/>
      <c r="N78" s="2751"/>
      <c r="O78" s="2751"/>
      <c r="P78" s="2776"/>
      <c r="Q78" s="2743"/>
      <c r="R78" s="2744"/>
      <c r="S78" s="2744"/>
      <c r="T78" s="2744"/>
      <c r="U78" s="2744"/>
      <c r="V78" s="2744"/>
      <c r="W78" s="2744"/>
      <c r="X78" s="2744"/>
      <c r="Y78" s="2744"/>
      <c r="Z78" s="2744"/>
      <c r="AA78" s="2744"/>
      <c r="AB78" s="2744"/>
      <c r="AC78" s="2744"/>
      <c r="AD78" s="2744"/>
      <c r="AE78" s="2744"/>
    </row>
    <row r="79" spans="1:31" s="420" customFormat="1" ht="14.4" thickTop="1">
      <c r="A79" s="500"/>
      <c r="B79" s="485">
        <f>B13</f>
        <v>111</v>
      </c>
      <c r="C79" s="501"/>
      <c r="D79" s="501"/>
      <c r="E79" s="501"/>
      <c r="F79" s="501"/>
      <c r="G79" s="501"/>
      <c r="H79" s="502"/>
      <c r="I79" s="502"/>
      <c r="J79" s="502"/>
      <c r="K79" s="502"/>
      <c r="L79" s="503"/>
      <c r="M79" s="504"/>
      <c r="N79" s="2752"/>
      <c r="O79" s="2752"/>
      <c r="P79" s="2720"/>
      <c r="Q79" s="2746"/>
      <c r="R79" s="2744"/>
      <c r="S79" s="2744"/>
      <c r="T79" s="2744"/>
      <c r="U79" s="2744"/>
      <c r="V79" s="2744"/>
      <c r="W79" s="2744"/>
      <c r="X79" s="2744"/>
      <c r="Y79" s="2744"/>
      <c r="Z79" s="2744"/>
      <c r="AA79" s="2744"/>
      <c r="AB79" s="2744"/>
      <c r="AC79" s="2744"/>
      <c r="AD79" s="2744"/>
      <c r="AE79" s="2744"/>
    </row>
    <row r="80" spans="1:31" s="420" customFormat="1" ht="14.4" thickBot="1">
      <c r="A80" s="500"/>
      <c r="B80" s="490"/>
      <c r="C80" s="507"/>
      <c r="D80" s="507"/>
      <c r="E80" s="507"/>
      <c r="F80" s="507"/>
      <c r="G80" s="507"/>
      <c r="H80" s="509"/>
      <c r="I80" s="509"/>
      <c r="J80" s="509"/>
      <c r="K80" s="509"/>
      <c r="L80" s="509"/>
      <c r="M80" s="510"/>
      <c r="N80" s="2752"/>
      <c r="O80" s="2752"/>
      <c r="P80" s="2776"/>
      <c r="Q80" s="2743"/>
      <c r="R80" s="2744"/>
      <c r="S80" s="2744"/>
      <c r="T80" s="2744"/>
      <c r="U80" s="2744"/>
      <c r="V80" s="2744"/>
      <c r="W80" s="2744"/>
      <c r="X80" s="2744"/>
      <c r="Y80" s="2744"/>
      <c r="Z80" s="2744"/>
      <c r="AA80" s="2744"/>
      <c r="AB80" s="2744"/>
      <c r="AC80" s="2744"/>
      <c r="AD80" s="2744"/>
      <c r="AE80" s="2744"/>
    </row>
    <row r="81" spans="1:31" s="420" customFormat="1" ht="14.4" thickTop="1">
      <c r="A81" s="500"/>
      <c r="B81" s="493">
        <f>B14</f>
        <v>111</v>
      </c>
      <c r="C81" s="470"/>
      <c r="D81" s="470"/>
      <c r="E81" s="470"/>
      <c r="F81" s="470"/>
      <c r="G81" s="470"/>
      <c r="H81" s="511"/>
      <c r="I81" s="511"/>
      <c r="J81" s="511"/>
      <c r="K81" s="511"/>
      <c r="L81" s="512"/>
      <c r="M81" s="513"/>
      <c r="N81" s="2752"/>
      <c r="O81" s="2752"/>
      <c r="P81" s="2781"/>
      <c r="Q81" s="2743"/>
      <c r="R81" s="2744"/>
      <c r="S81" s="2744"/>
      <c r="T81" s="2744"/>
      <c r="U81" s="2744"/>
      <c r="V81" s="2744"/>
      <c r="W81" s="2744"/>
      <c r="X81" s="2744"/>
      <c r="Y81" s="2744"/>
      <c r="Z81" s="2744"/>
      <c r="AA81" s="2744"/>
      <c r="AB81" s="2744"/>
      <c r="AC81" s="2744"/>
      <c r="AD81" s="2744"/>
      <c r="AE81" s="2744"/>
    </row>
    <row r="82" spans="1:31" s="420" customFormat="1" ht="14.4" thickBot="1">
      <c r="A82" s="515"/>
      <c r="B82" s="516"/>
      <c r="C82" s="517"/>
      <c r="D82" s="517"/>
      <c r="E82" s="517"/>
      <c r="F82" s="517"/>
      <c r="G82" s="517"/>
      <c r="H82" s="518"/>
      <c r="I82" s="518"/>
      <c r="J82" s="518"/>
      <c r="K82" s="518"/>
      <c r="L82" s="518"/>
      <c r="M82" s="519"/>
      <c r="N82" s="2752"/>
      <c r="O82" s="2752"/>
      <c r="P82" s="2776"/>
      <c r="Q82" s="2743"/>
      <c r="R82" s="2744"/>
      <c r="S82" s="2744"/>
      <c r="T82" s="2744"/>
      <c r="U82" s="2744"/>
      <c r="V82" s="2744"/>
      <c r="W82" s="2744"/>
      <c r="X82" s="2744"/>
      <c r="Y82" s="2744"/>
      <c r="Z82" s="2744"/>
      <c r="AA82" s="2744"/>
      <c r="AB82" s="2744"/>
      <c r="AC82" s="2744"/>
      <c r="AD82" s="2744"/>
      <c r="AE82" s="2744"/>
    </row>
    <row r="83" spans="1:31" ht="14.4">
      <c r="A83" s="474" t="s">
        <v>1690</v>
      </c>
      <c r="B83" s="475" t="s">
        <v>1829</v>
      </c>
      <c r="C83" s="520" t="s">
        <v>1721</v>
      </c>
      <c r="D83" s="520" t="s">
        <v>1722</v>
      </c>
      <c r="E83" s="520" t="s">
        <v>1723</v>
      </c>
      <c r="F83" s="520" t="s">
        <v>1724</v>
      </c>
      <c r="G83" s="520" t="s">
        <v>1725</v>
      </c>
      <c r="H83" s="476"/>
      <c r="I83" s="476"/>
      <c r="J83" s="476"/>
      <c r="K83" s="521"/>
      <c r="L83" s="522"/>
      <c r="M83" s="523"/>
      <c r="N83" s="2750"/>
      <c r="O83" s="2750"/>
      <c r="P83" s="2777"/>
      <c r="Q83" s="2736"/>
      <c r="R83" s="2722"/>
      <c r="S83" s="2722"/>
      <c r="T83" s="2722"/>
      <c r="U83" s="2722"/>
      <c r="V83" s="2722"/>
      <c r="W83" s="2722"/>
      <c r="X83" s="2722"/>
      <c r="Y83" s="2722"/>
      <c r="Z83" s="2722"/>
      <c r="AA83" s="2722"/>
      <c r="AB83" s="2722"/>
      <c r="AC83" s="2722"/>
      <c r="AD83" s="2722"/>
      <c r="AE83" s="2722"/>
    </row>
    <row r="84" spans="1:31" ht="14.4" thickBot="1">
      <c r="A84" s="481"/>
      <c r="B84" s="490"/>
      <c r="C84" s="491">
        <v>100</v>
      </c>
      <c r="D84" s="491">
        <f>C84-$K15</f>
        <v>100</v>
      </c>
      <c r="E84" s="491">
        <f>D84-$K15</f>
        <v>100</v>
      </c>
      <c r="F84" s="491">
        <f>E84-$K15</f>
        <v>100</v>
      </c>
      <c r="G84" s="491">
        <f>F84-$K15</f>
        <v>100</v>
      </c>
      <c r="H84" s="491"/>
      <c r="I84" s="491"/>
      <c r="J84" s="491"/>
      <c r="K84" s="491"/>
      <c r="L84" s="491"/>
      <c r="M84" s="492"/>
      <c r="N84" s="2751"/>
      <c r="O84" s="2751"/>
      <c r="P84" s="2775"/>
      <c r="Q84" s="2736"/>
      <c r="R84" s="2722"/>
      <c r="S84" s="2722"/>
      <c r="T84" s="2722"/>
      <c r="U84" s="2722"/>
      <c r="V84" s="2722"/>
      <c r="W84" s="2722"/>
      <c r="X84" s="2722"/>
      <c r="Y84" s="2722"/>
      <c r="Z84" s="2722"/>
      <c r="AA84" s="2722"/>
      <c r="AB84" s="2722"/>
      <c r="AC84" s="2722"/>
      <c r="AD84" s="2722"/>
      <c r="AE84" s="2722"/>
    </row>
    <row r="85" spans="1:31" ht="15" thickTop="1">
      <c r="A85" s="481"/>
      <c r="B85" s="485" t="s">
        <v>1726</v>
      </c>
      <c r="C85" s="525" t="s">
        <v>1721</v>
      </c>
      <c r="D85" s="525" t="s">
        <v>1722</v>
      </c>
      <c r="E85" s="525" t="s">
        <v>1723</v>
      </c>
      <c r="F85" s="525" t="s">
        <v>1724</v>
      </c>
      <c r="G85" s="525" t="s">
        <v>1725</v>
      </c>
      <c r="H85" s="486"/>
      <c r="I85" s="486"/>
      <c r="J85" s="486"/>
      <c r="K85" s="487"/>
      <c r="L85" s="488"/>
      <c r="M85" s="489"/>
      <c r="N85" s="2750"/>
      <c r="O85" s="2750"/>
      <c r="P85" s="2775"/>
      <c r="Q85" s="2736"/>
      <c r="R85" s="2722"/>
      <c r="S85" s="2722"/>
      <c r="T85" s="2722"/>
      <c r="U85" s="2722"/>
      <c r="V85" s="2722"/>
      <c r="W85" s="2722"/>
      <c r="X85" s="2722"/>
      <c r="Y85" s="2722"/>
      <c r="Z85" s="2722"/>
      <c r="AA85" s="2722"/>
      <c r="AB85" s="2722"/>
      <c r="AC85" s="2722"/>
      <c r="AD85" s="2722"/>
      <c r="AE85" s="2722"/>
    </row>
    <row r="86" spans="1:31" ht="14.4" thickBot="1">
      <c r="A86" s="481"/>
      <c r="B86" s="490"/>
      <c r="C86" s="491">
        <v>100</v>
      </c>
      <c r="D86" s="491">
        <f>C86-$K17</f>
        <v>100</v>
      </c>
      <c r="E86" s="491">
        <f>D86-$K17</f>
        <v>100</v>
      </c>
      <c r="F86" s="491">
        <f>E86-$K17</f>
        <v>100</v>
      </c>
      <c r="G86" s="491">
        <f>F86-$K17</f>
        <v>100</v>
      </c>
      <c r="H86" s="491"/>
      <c r="I86" s="491"/>
      <c r="J86" s="491"/>
      <c r="K86" s="491"/>
      <c r="L86" s="491"/>
      <c r="M86" s="492"/>
      <c r="N86" s="2751"/>
      <c r="O86" s="2751"/>
      <c r="P86" s="2775"/>
      <c r="Q86" s="2736"/>
      <c r="R86" s="2722"/>
      <c r="S86" s="2722"/>
      <c r="T86" s="2722"/>
      <c r="U86" s="2722"/>
      <c r="V86" s="2722"/>
      <c r="W86" s="2722"/>
      <c r="X86" s="2722"/>
      <c r="Y86" s="2722"/>
      <c r="Z86" s="2722"/>
      <c r="AA86" s="2722"/>
      <c r="AB86" s="2722"/>
      <c r="AC86" s="2722"/>
      <c r="AD86" s="2722"/>
      <c r="AE86" s="2722"/>
    </row>
    <row r="87" spans="1:31" s="107" customFormat="1" ht="29.4" thickTop="1">
      <c r="A87" s="526"/>
      <c r="B87" s="485" t="s">
        <v>1907</v>
      </c>
      <c r="C87" s="520" t="s">
        <v>1721</v>
      </c>
      <c r="D87" s="520" t="s">
        <v>1722</v>
      </c>
      <c r="E87" s="520" t="s">
        <v>1723</v>
      </c>
      <c r="F87" s="520" t="s">
        <v>1724</v>
      </c>
      <c r="G87" s="520" t="s">
        <v>1725</v>
      </c>
      <c r="H87" s="525"/>
      <c r="I87" s="525"/>
      <c r="J87" s="525"/>
      <c r="K87" s="525"/>
      <c r="L87" s="644"/>
      <c r="M87" s="568"/>
      <c r="N87" s="2749"/>
      <c r="O87" s="2749"/>
      <c r="P87" s="2775"/>
      <c r="Q87" s="2736"/>
      <c r="R87" s="2658"/>
      <c r="S87" s="2658"/>
      <c r="T87" s="2658"/>
      <c r="U87" s="2658"/>
      <c r="V87" s="2658"/>
      <c r="W87" s="2658"/>
      <c r="X87" s="2658"/>
      <c r="Y87" s="2658"/>
      <c r="Z87" s="2658"/>
      <c r="AA87" s="2658"/>
      <c r="AB87" s="2658"/>
      <c r="AC87" s="2658"/>
      <c r="AD87" s="2658"/>
      <c r="AE87" s="2658"/>
    </row>
    <row r="88" spans="1:31" s="107" customFormat="1" ht="14.4" thickBot="1">
      <c r="A88" s="526"/>
      <c r="B88" s="490"/>
      <c r="C88" s="529">
        <v>100</v>
      </c>
      <c r="D88" s="491">
        <f>C88-$K19</f>
        <v>100</v>
      </c>
      <c r="E88" s="491">
        <f>D88-$K19</f>
        <v>100</v>
      </c>
      <c r="F88" s="491">
        <f>E88-$K19</f>
        <v>100</v>
      </c>
      <c r="G88" s="491">
        <f>F88-$K19</f>
        <v>100</v>
      </c>
      <c r="H88" s="491"/>
      <c r="I88" s="491"/>
      <c r="J88" s="491"/>
      <c r="K88" s="491"/>
      <c r="L88" s="491"/>
      <c r="M88" s="492"/>
      <c r="N88" s="2751"/>
      <c r="O88" s="2751"/>
      <c r="P88" s="2775"/>
      <c r="Q88" s="2736"/>
      <c r="R88" s="2658"/>
      <c r="S88" s="2658"/>
      <c r="T88" s="2658"/>
      <c r="U88" s="2658"/>
      <c r="V88" s="2658"/>
      <c r="W88" s="2658"/>
      <c r="X88" s="2658"/>
      <c r="Y88" s="2658"/>
      <c r="Z88" s="2658"/>
      <c r="AA88" s="2658"/>
      <c r="AB88" s="2658"/>
      <c r="AC88" s="2658"/>
      <c r="AD88" s="2658"/>
      <c r="AE88" s="2658"/>
    </row>
    <row r="89" spans="1:31" s="107" customFormat="1" ht="29.4" thickTop="1">
      <c r="A89" s="526"/>
      <c r="B89" s="485" t="s">
        <v>1908</v>
      </c>
      <c r="C89" s="520" t="s">
        <v>1721</v>
      </c>
      <c r="D89" s="520" t="s">
        <v>1722</v>
      </c>
      <c r="E89" s="520" t="s">
        <v>1723</v>
      </c>
      <c r="F89" s="520" t="s">
        <v>1724</v>
      </c>
      <c r="G89" s="520" t="s">
        <v>1725</v>
      </c>
      <c r="H89" s="525"/>
      <c r="I89" s="525"/>
      <c r="J89" s="525"/>
      <c r="K89" s="525"/>
      <c r="L89" s="525"/>
      <c r="M89" s="568"/>
      <c r="N89" s="2749"/>
      <c r="O89" s="2749"/>
      <c r="P89" s="2775"/>
      <c r="Q89" s="2736"/>
      <c r="R89" s="2658"/>
      <c r="S89" s="2658"/>
      <c r="T89" s="2658"/>
      <c r="U89" s="2658"/>
      <c r="V89" s="2658"/>
      <c r="W89" s="2658"/>
      <c r="X89" s="2658"/>
      <c r="Y89" s="2658"/>
      <c r="Z89" s="2658"/>
      <c r="AA89" s="2658"/>
      <c r="AB89" s="2658"/>
      <c r="AC89" s="2658"/>
      <c r="AD89" s="2658"/>
      <c r="AE89" s="2658"/>
    </row>
    <row r="90" spans="1:31" s="107" customFormat="1" ht="14.4" thickBot="1">
      <c r="A90" s="526"/>
      <c r="B90" s="490"/>
      <c r="C90" s="491">
        <v>100</v>
      </c>
      <c r="D90" s="491">
        <f>C90-$K21</f>
        <v>100</v>
      </c>
      <c r="E90" s="491">
        <f>D90-$K21</f>
        <v>100</v>
      </c>
      <c r="F90" s="491">
        <f>E90-$K21</f>
        <v>100</v>
      </c>
      <c r="G90" s="491">
        <f>F90-$K21</f>
        <v>100</v>
      </c>
      <c r="H90" s="491"/>
      <c r="I90" s="491"/>
      <c r="J90" s="491"/>
      <c r="K90" s="491"/>
      <c r="L90" s="491"/>
      <c r="M90" s="492"/>
      <c r="N90" s="2751"/>
      <c r="O90" s="2751"/>
      <c r="P90" s="2775"/>
      <c r="Q90" s="2736"/>
      <c r="R90" s="2658"/>
      <c r="S90" s="2658"/>
      <c r="T90" s="2658"/>
      <c r="U90" s="2658"/>
      <c r="V90" s="2658"/>
      <c r="W90" s="2658"/>
      <c r="X90" s="2658"/>
      <c r="Y90" s="2658"/>
      <c r="Z90" s="2658"/>
      <c r="AA90" s="2658"/>
      <c r="AB90" s="2658"/>
      <c r="AC90" s="2658"/>
      <c r="AD90" s="2658"/>
      <c r="AE90" s="2658"/>
    </row>
    <row r="91" spans="1:31" s="420" customFormat="1" ht="15" thickTop="1">
      <c r="A91" s="500"/>
      <c r="B91" s="485" t="s">
        <v>1778</v>
      </c>
      <c r="C91" s="520" t="s">
        <v>1721</v>
      </c>
      <c r="D91" s="520" t="s">
        <v>1722</v>
      </c>
      <c r="E91" s="520" t="s">
        <v>1723</v>
      </c>
      <c r="F91" s="520" t="s">
        <v>1724</v>
      </c>
      <c r="G91" s="520" t="s">
        <v>1725</v>
      </c>
      <c r="H91" s="547"/>
      <c r="I91" s="547"/>
      <c r="J91" s="547"/>
      <c r="K91" s="547"/>
      <c r="L91" s="548"/>
      <c r="M91" s="549"/>
      <c r="N91" s="2752"/>
      <c r="O91" s="2752"/>
      <c r="P91" s="2776"/>
      <c r="Q91" s="2743"/>
      <c r="R91" s="2744"/>
      <c r="S91" s="2744"/>
      <c r="T91" s="2744"/>
      <c r="U91" s="2744"/>
      <c r="V91" s="2744"/>
      <c r="W91" s="2744"/>
      <c r="X91" s="2744"/>
      <c r="Y91" s="2744"/>
      <c r="Z91" s="2744"/>
      <c r="AA91" s="2744"/>
      <c r="AB91" s="2744"/>
      <c r="AC91" s="2744"/>
      <c r="AD91" s="2744"/>
      <c r="AE91" s="2744"/>
    </row>
    <row r="92" spans="1:31" s="420" customFormat="1" ht="14.4" thickBot="1">
      <c r="A92" s="500"/>
      <c r="B92" s="490"/>
      <c r="C92" s="491">
        <v>100</v>
      </c>
      <c r="D92" s="491">
        <f>C92-$K23</f>
        <v>100</v>
      </c>
      <c r="E92" s="491">
        <f>D92-$K23</f>
        <v>100</v>
      </c>
      <c r="F92" s="491">
        <f>E92-$K23</f>
        <v>100</v>
      </c>
      <c r="G92" s="491">
        <f>F92-$K23</f>
        <v>100</v>
      </c>
      <c r="H92" s="554"/>
      <c r="I92" s="554"/>
      <c r="J92" s="554"/>
      <c r="K92" s="554"/>
      <c r="L92" s="554"/>
      <c r="M92" s="555"/>
      <c r="N92" s="2752"/>
      <c r="O92" s="2752"/>
      <c r="P92" s="2776"/>
      <c r="Q92" s="2743"/>
      <c r="R92" s="2744"/>
      <c r="S92" s="2744"/>
      <c r="T92" s="2744"/>
      <c r="U92" s="2744"/>
      <c r="V92" s="2744"/>
      <c r="W92" s="2744"/>
      <c r="X92" s="2744"/>
      <c r="Y92" s="2744"/>
      <c r="Z92" s="2744"/>
      <c r="AA92" s="2744"/>
      <c r="AB92" s="2744"/>
      <c r="AC92" s="2744"/>
      <c r="AD92" s="2744"/>
      <c r="AE92" s="2744"/>
    </row>
    <row r="93" spans="1:31" s="420" customFormat="1" ht="15" thickTop="1">
      <c r="A93" s="500"/>
      <c r="B93" s="493" t="s">
        <v>1925</v>
      </c>
      <c r="C93" s="606" t="s">
        <v>1799</v>
      </c>
      <c r="D93" s="606" t="s">
        <v>1800</v>
      </c>
      <c r="E93" s="606" t="s">
        <v>1801</v>
      </c>
      <c r="F93" s="606" t="s">
        <v>1802</v>
      </c>
      <c r="G93" s="606" t="s">
        <v>1803</v>
      </c>
      <c r="H93" s="547"/>
      <c r="I93" s="547"/>
      <c r="J93" s="547"/>
      <c r="K93" s="547"/>
      <c r="L93" s="547"/>
      <c r="M93" s="549"/>
      <c r="N93" s="2752"/>
      <c r="O93" s="2752"/>
      <c r="P93" s="2776"/>
      <c r="Q93" s="2743"/>
      <c r="R93" s="2744"/>
      <c r="S93" s="2744"/>
      <c r="T93" s="2744"/>
      <c r="U93" s="2744"/>
      <c r="V93" s="2744"/>
      <c r="W93" s="2744"/>
      <c r="X93" s="2744"/>
      <c r="Y93" s="2744"/>
      <c r="Z93" s="2744"/>
      <c r="AA93" s="2744"/>
      <c r="AB93" s="2744"/>
      <c r="AC93" s="2744"/>
      <c r="AD93" s="2744"/>
      <c r="AE93" s="2744"/>
    </row>
    <row r="94" spans="1:31" s="420" customFormat="1" ht="14.4" thickBot="1">
      <c r="A94" s="500"/>
      <c r="B94" s="493"/>
      <c r="C94" s="491">
        <v>100</v>
      </c>
      <c r="D94" s="491">
        <f>C94-$K25</f>
        <v>100</v>
      </c>
      <c r="E94" s="491">
        <f>D94-$K25</f>
        <v>100</v>
      </c>
      <c r="F94" s="491">
        <f>E94-$K25</f>
        <v>100</v>
      </c>
      <c r="G94" s="491">
        <f>F94-$K25</f>
        <v>100</v>
      </c>
      <c r="H94" s="495"/>
      <c r="I94" s="495"/>
      <c r="J94" s="495"/>
      <c r="K94" s="495"/>
      <c r="L94" s="495"/>
      <c r="M94" s="1129"/>
      <c r="N94" s="2752"/>
      <c r="O94" s="2752"/>
      <c r="P94" s="2776"/>
      <c r="Q94" s="2743"/>
      <c r="R94" s="2744"/>
      <c r="S94" s="2744"/>
      <c r="T94" s="2744"/>
      <c r="U94" s="2744"/>
      <c r="V94" s="2744"/>
      <c r="W94" s="2744"/>
      <c r="X94" s="2744"/>
      <c r="Y94" s="2744"/>
      <c r="Z94" s="2744"/>
      <c r="AA94" s="2744"/>
      <c r="AB94" s="2744"/>
      <c r="AC94" s="2744"/>
      <c r="AD94" s="2744"/>
      <c r="AE94" s="2744"/>
    </row>
    <row r="95" spans="1:31" ht="15" thickTop="1">
      <c r="A95" s="481"/>
      <c r="B95" s="485" t="str">
        <f>B27</f>
        <v>临街状况</v>
      </c>
      <c r="C95" s="486" t="s">
        <v>1909</v>
      </c>
      <c r="D95" s="486" t="s">
        <v>1910</v>
      </c>
      <c r="E95" s="486" t="s">
        <v>1911</v>
      </c>
      <c r="F95" s="486" t="s">
        <v>1912</v>
      </c>
      <c r="G95" s="486"/>
      <c r="H95" s="486"/>
      <c r="I95" s="486"/>
      <c r="J95" s="486"/>
      <c r="K95" s="487"/>
      <c r="L95" s="488"/>
      <c r="M95" s="489"/>
      <c r="N95" s="2750"/>
      <c r="O95" s="2750"/>
      <c r="P95" s="2775"/>
      <c r="Q95" s="2736"/>
      <c r="R95" s="2722"/>
      <c r="S95" s="2722"/>
      <c r="T95" s="2722"/>
      <c r="U95" s="2722"/>
      <c r="V95" s="2722"/>
      <c r="W95" s="2722"/>
      <c r="X95" s="2722"/>
      <c r="Y95" s="2722"/>
      <c r="Z95" s="2722"/>
      <c r="AA95" s="2722"/>
      <c r="AB95" s="2722"/>
      <c r="AC95" s="2722"/>
      <c r="AD95" s="2722"/>
      <c r="AE95" s="2722"/>
    </row>
    <row r="96" spans="1:31" ht="14.4"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9.4" thickTop="1">
      <c r="A97" s="481"/>
      <c r="B97" s="485" t="s">
        <v>1815</v>
      </c>
      <c r="C97" s="501"/>
      <c r="D97" s="501"/>
      <c r="E97" s="501"/>
      <c r="F97" s="501"/>
      <c r="G97" s="501"/>
      <c r="H97" s="530"/>
      <c r="I97" s="530"/>
      <c r="J97" s="530"/>
      <c r="K97" s="531"/>
      <c r="L97" s="532"/>
      <c r="M97" s="533"/>
      <c r="N97" s="2750"/>
      <c r="O97" s="2750"/>
      <c r="P97" s="2775"/>
      <c r="Q97" s="2736"/>
      <c r="R97" s="2722"/>
      <c r="S97" s="2722"/>
      <c r="T97" s="2722"/>
      <c r="U97" s="2722"/>
      <c r="V97" s="2722"/>
      <c r="W97" s="2722"/>
      <c r="X97" s="2722"/>
      <c r="Y97" s="2722"/>
      <c r="Z97" s="2722"/>
      <c r="AA97" s="2722"/>
      <c r="AB97" s="2722"/>
      <c r="AC97" s="2722"/>
      <c r="AD97" s="2722"/>
      <c r="AE97" s="2722"/>
    </row>
    <row r="98" spans="1:31" ht="14.4"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 thickTop="1">
      <c r="A99" s="481"/>
      <c r="B99" s="485" t="s">
        <v>1873</v>
      </c>
      <c r="C99" s="530"/>
      <c r="D99" s="530"/>
      <c r="E99" s="530"/>
      <c r="F99" s="530"/>
      <c r="G99" s="530"/>
      <c r="H99" s="530"/>
      <c r="I99" s="530"/>
      <c r="J99" s="530"/>
      <c r="K99" s="531"/>
      <c r="L99" s="532"/>
      <c r="M99" s="533"/>
      <c r="N99" s="2750"/>
      <c r="O99" s="2750"/>
      <c r="P99" s="2775"/>
      <c r="Q99" s="2736"/>
      <c r="R99" s="2722"/>
      <c r="S99" s="2722"/>
      <c r="T99" s="2722"/>
      <c r="U99" s="2722"/>
      <c r="V99" s="2722"/>
      <c r="W99" s="2722"/>
      <c r="X99" s="2722"/>
      <c r="Y99" s="2722"/>
      <c r="Z99" s="2722"/>
      <c r="AA99" s="2722"/>
      <c r="AB99" s="2722"/>
      <c r="AC99" s="2722"/>
      <c r="AD99" s="2722"/>
      <c r="AE99" s="2722"/>
    </row>
    <row r="100" spans="1:31" ht="14.4"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4.4" thickTop="1">
      <c r="A101" s="481"/>
      <c r="B101" s="493">
        <f>B31</f>
        <v>111</v>
      </c>
      <c r="C101" s="501"/>
      <c r="D101" s="501"/>
      <c r="E101" s="501"/>
      <c r="F101" s="501"/>
      <c r="G101" s="534"/>
      <c r="H101" s="534"/>
      <c r="I101" s="534"/>
      <c r="J101" s="534"/>
      <c r="K101" s="535"/>
      <c r="L101" s="536"/>
      <c r="M101" s="537"/>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4.4" thickBot="1">
      <c r="A102" s="481"/>
      <c r="B102" s="516"/>
      <c r="C102" s="507"/>
      <c r="D102" s="483"/>
      <c r="E102" s="483"/>
      <c r="F102" s="483"/>
      <c r="G102" s="538"/>
      <c r="H102" s="538"/>
      <c r="I102" s="538"/>
      <c r="J102" s="538"/>
      <c r="K102" s="538"/>
      <c r="L102" s="538"/>
      <c r="M102" s="539"/>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4.4" thickTop="1">
      <c r="A103" s="621"/>
      <c r="B103" s="485">
        <f>B32</f>
        <v>111</v>
      </c>
      <c r="C103" s="501"/>
      <c r="D103" s="501"/>
      <c r="E103" s="501"/>
      <c r="F103" s="501"/>
      <c r="G103" s="530"/>
      <c r="H103" s="530"/>
      <c r="I103" s="530"/>
      <c r="J103" s="530"/>
      <c r="K103" s="531"/>
      <c r="L103" s="532"/>
      <c r="M103" s="533"/>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4.4" thickBot="1">
      <c r="A104" s="481"/>
      <c r="B104" s="490"/>
      <c r="C104" s="507"/>
      <c r="D104" s="507"/>
      <c r="E104" s="507"/>
      <c r="F104" s="507"/>
      <c r="G104" s="483"/>
      <c r="H104" s="483"/>
      <c r="I104" s="483"/>
      <c r="J104" s="483"/>
      <c r="K104" s="483"/>
      <c r="L104" s="483"/>
      <c r="M104" s="484"/>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0" customFormat="1" ht="14.4" thickTop="1">
      <c r="A105" s="540"/>
      <c r="B105" s="541">
        <f>B33</f>
        <v>111</v>
      </c>
      <c r="C105" s="470"/>
      <c r="D105" s="470"/>
      <c r="E105" s="470"/>
      <c r="F105" s="470"/>
      <c r="G105" s="542"/>
      <c r="H105" s="542"/>
      <c r="I105" s="542"/>
      <c r="J105" s="543"/>
      <c r="K105" s="543"/>
      <c r="L105" s="544"/>
      <c r="M105" s="545"/>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0" customFormat="1" ht="14.4" thickBot="1">
      <c r="A106" s="500"/>
      <c r="B106" s="493"/>
      <c r="C106" s="517"/>
      <c r="D106" s="517"/>
      <c r="E106" s="517"/>
      <c r="F106" s="517"/>
      <c r="G106" s="623"/>
      <c r="H106" s="623"/>
      <c r="I106" s="623"/>
      <c r="J106" s="623"/>
      <c r="K106" s="623"/>
      <c r="L106" s="623"/>
      <c r="M106" s="645"/>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ht="14.4">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c r="A108" s="481"/>
      <c r="B108" s="493"/>
      <c r="C108" s="542"/>
      <c r="D108" s="542"/>
      <c r="E108" s="542"/>
      <c r="F108" s="542"/>
      <c r="G108" s="542"/>
      <c r="H108" s="542"/>
      <c r="I108" s="542"/>
      <c r="J108" s="543"/>
      <c r="K108" s="543"/>
      <c r="L108" s="544"/>
      <c r="M108" s="545"/>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4.4" thickBot="1">
      <c r="A109" s="481"/>
      <c r="B109" s="490"/>
      <c r="C109" s="517"/>
      <c r="D109" s="538"/>
      <c r="E109" s="538"/>
      <c r="F109" s="538"/>
      <c r="G109" s="538"/>
      <c r="H109" s="538"/>
      <c r="I109" s="538"/>
      <c r="J109" s="538"/>
      <c r="K109" s="538"/>
      <c r="L109" s="538"/>
      <c r="M109" s="539"/>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6"/>
      <c r="B110" s="485" t="s">
        <v>1914</v>
      </c>
      <c r="C110" s="530"/>
      <c r="D110" s="530"/>
      <c r="E110" s="530"/>
      <c r="F110" s="530"/>
      <c r="G110" s="530"/>
      <c r="H110" s="530"/>
      <c r="I110" s="530"/>
      <c r="J110" s="530"/>
      <c r="K110" s="531"/>
      <c r="L110" s="532"/>
      <c r="M110" s="533"/>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4.4"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0" customFormat="1" ht="15" thickTop="1">
      <c r="A112" s="540"/>
      <c r="B112" s="485" t="s">
        <v>1916</v>
      </c>
      <c r="C112" s="501"/>
      <c r="D112" s="501"/>
      <c r="E112" s="501"/>
      <c r="F112" s="501"/>
      <c r="G112" s="501"/>
      <c r="H112" s="530"/>
      <c r="I112" s="530"/>
      <c r="J112" s="530"/>
      <c r="K112" s="531"/>
      <c r="L112" s="532"/>
      <c r="M112" s="533"/>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0" customFormat="1" ht="14.4"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6"/>
      <c r="B114" s="485" t="s">
        <v>1917</v>
      </c>
      <c r="C114" s="501"/>
      <c r="D114" s="501"/>
      <c r="E114" s="530"/>
      <c r="F114" s="530"/>
      <c r="G114" s="530"/>
      <c r="H114" s="530"/>
      <c r="I114" s="530"/>
      <c r="J114" s="530"/>
      <c r="K114" s="531"/>
      <c r="L114" s="532"/>
      <c r="M114" s="533"/>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4.4"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4.4" thickTop="1">
      <c r="A116" s="546"/>
      <c r="B116" s="485">
        <f>B38</f>
        <v>111</v>
      </c>
      <c r="C116" s="501"/>
      <c r="D116" s="501"/>
      <c r="E116" s="501"/>
      <c r="F116" s="501"/>
      <c r="G116" s="501"/>
      <c r="H116" s="530"/>
      <c r="I116" s="530"/>
      <c r="J116" s="530"/>
      <c r="K116" s="531"/>
      <c r="L116" s="532"/>
      <c r="M116" s="533"/>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4.4" thickBot="1">
      <c r="A117" s="481"/>
      <c r="B117" s="490"/>
      <c r="C117" s="507"/>
      <c r="D117" s="483"/>
      <c r="E117" s="483"/>
      <c r="F117" s="483"/>
      <c r="G117" s="483"/>
      <c r="H117" s="483"/>
      <c r="I117" s="483"/>
      <c r="J117" s="483"/>
      <c r="K117" s="483"/>
      <c r="L117" s="483"/>
      <c r="M117" s="484"/>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4.4" thickTop="1">
      <c r="A118" s="546"/>
      <c r="B118" s="485">
        <f>B39</f>
        <v>111</v>
      </c>
      <c r="C118" s="501"/>
      <c r="D118" s="501"/>
      <c r="E118" s="501"/>
      <c r="F118" s="501"/>
      <c r="G118" s="530"/>
      <c r="H118" s="530"/>
      <c r="I118" s="530"/>
      <c r="J118" s="530"/>
      <c r="K118" s="531"/>
      <c r="L118" s="532"/>
      <c r="M118" s="533"/>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4.4" thickBot="1">
      <c r="A119" s="481"/>
      <c r="B119" s="490"/>
      <c r="C119" s="507"/>
      <c r="D119" s="507"/>
      <c r="E119" s="507"/>
      <c r="F119" s="507"/>
      <c r="G119" s="483"/>
      <c r="H119" s="483"/>
      <c r="I119" s="483"/>
      <c r="J119" s="483"/>
      <c r="K119" s="483"/>
      <c r="L119" s="483"/>
      <c r="M119" s="484"/>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0" customFormat="1" ht="14.4" thickTop="1">
      <c r="A120" s="540"/>
      <c r="B120" s="485">
        <f>B40</f>
        <v>111</v>
      </c>
      <c r="C120" s="470"/>
      <c r="D120" s="470"/>
      <c r="E120" s="470"/>
      <c r="F120" s="470"/>
      <c r="G120" s="502"/>
      <c r="H120" s="502"/>
      <c r="I120" s="502"/>
      <c r="J120" s="502"/>
      <c r="K120" s="502"/>
      <c r="L120" s="503"/>
      <c r="M120" s="504"/>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0" customFormat="1" ht="14.4" thickBot="1">
      <c r="A121" s="515"/>
      <c r="B121" s="646"/>
      <c r="C121" s="517"/>
      <c r="D121" s="517"/>
      <c r="E121" s="517"/>
      <c r="F121" s="517"/>
      <c r="G121" s="538"/>
      <c r="H121" s="538"/>
      <c r="I121" s="538"/>
      <c r="J121" s="538"/>
      <c r="K121" s="538"/>
      <c r="L121" s="538"/>
      <c r="M121" s="539"/>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8"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8"/>
    <col min="20" max="45" width="9" style="723"/>
    <col min="46" max="16384" width="9" style="128"/>
  </cols>
  <sheetData>
    <row r="1" spans="1:45" ht="14.25" customHeight="1" thickBot="1">
      <c r="A1" s="144"/>
      <c r="B1" s="980" t="s">
        <v>2083</v>
      </c>
      <c r="C1" s="3764" t="s">
        <v>2084</v>
      </c>
      <c r="D1" s="3765"/>
      <c r="E1" s="3765"/>
      <c r="F1" s="3765"/>
      <c r="G1" s="3765"/>
      <c r="H1" s="3765"/>
      <c r="I1" s="3765"/>
      <c r="J1" s="3765"/>
      <c r="K1" s="3765"/>
      <c r="L1" s="3765"/>
      <c r="M1" s="3765"/>
      <c r="N1" s="3765"/>
      <c r="O1" s="3765"/>
      <c r="P1" s="3765"/>
      <c r="Q1" s="3765"/>
      <c r="R1" s="3765"/>
      <c r="S1" s="3766"/>
      <c r="T1" s="980" t="s">
        <v>2085</v>
      </c>
    </row>
    <row r="2" spans="1:45" s="653" customFormat="1">
      <c r="A2" s="981"/>
      <c r="B2" s="649" t="s">
        <v>2086</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2"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3"/>
      <c r="B3" s="654"/>
      <c r="C3" s="655"/>
      <c r="D3" s="656"/>
      <c r="E3" s="656"/>
      <c r="F3" s="1302"/>
      <c r="G3" s="1302"/>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8" thickBot="1">
      <c r="A4" s="984"/>
      <c r="B4" s="985"/>
      <c r="C4" s="986"/>
      <c r="D4" s="987"/>
      <c r="E4" s="987"/>
      <c r="F4" s="1306"/>
      <c r="G4" s="1306"/>
      <c r="H4" s="1306"/>
      <c r="I4" s="1306"/>
      <c r="J4" s="1306"/>
      <c r="K4" s="1306"/>
      <c r="L4" s="1306"/>
      <c r="M4" s="1307"/>
      <c r="N4" s="1307"/>
      <c r="O4" s="1306"/>
      <c r="P4" s="1306"/>
      <c r="Q4" s="1306"/>
      <c r="R4" s="1306"/>
      <c r="S4" s="1308"/>
      <c r="T4" s="990"/>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1"/>
      <c r="B5" s="1333" t="s">
        <v>2087</v>
      </c>
      <c r="C5" s="992"/>
      <c r="D5" s="993"/>
      <c r="E5" s="993"/>
      <c r="F5" s="1309"/>
      <c r="G5" s="1309"/>
      <c r="H5" s="1309"/>
      <c r="I5" s="1309"/>
      <c r="J5" s="1309"/>
      <c r="K5" s="1309"/>
      <c r="L5" s="1310"/>
      <c r="M5" s="1311"/>
      <c r="N5" s="1311"/>
      <c r="O5" s="1309"/>
      <c r="P5" s="1309"/>
      <c r="Q5" s="1309"/>
      <c r="R5" s="1309"/>
      <c r="S5" s="1312"/>
      <c r="T5" s="995"/>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8"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1"/>
      <c r="B7" s="1334" t="s">
        <v>2088</v>
      </c>
      <c r="C7" s="901"/>
      <c r="D7" s="895"/>
      <c r="E7" s="895"/>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8"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c r="A9" s="991"/>
      <c r="B9" s="1334" t="s">
        <v>2089</v>
      </c>
      <c r="C9" s="901"/>
      <c r="D9" s="895"/>
      <c r="E9" s="895"/>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8"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8"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8" thickBot="1">
      <c r="A14" s="991"/>
      <c r="B14" s="896"/>
      <c r="C14" s="900"/>
      <c r="D14" s="897"/>
      <c r="E14" s="897"/>
      <c r="F14" s="897"/>
      <c r="G14" s="897"/>
      <c r="H14" s="897"/>
      <c r="I14" s="897"/>
      <c r="J14" s="897"/>
      <c r="K14" s="897"/>
      <c r="L14" s="897"/>
      <c r="M14" s="1005"/>
      <c r="N14" s="1005"/>
      <c r="O14" s="897"/>
      <c r="P14" s="897"/>
      <c r="Q14" s="897"/>
      <c r="R14" s="897"/>
      <c r="S14" s="1006"/>
      <c r="T14" s="898"/>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8" thickBot="1">
      <c r="A16" s="991"/>
      <c r="B16" s="985"/>
      <c r="C16" s="986"/>
      <c r="D16" s="987"/>
      <c r="E16" s="987"/>
      <c r="F16" s="987"/>
      <c r="G16" s="987"/>
      <c r="H16" s="987"/>
      <c r="I16" s="987"/>
      <c r="J16" s="987"/>
      <c r="K16" s="987"/>
      <c r="L16" s="987"/>
      <c r="M16" s="988"/>
      <c r="N16" s="988"/>
      <c r="O16" s="987"/>
      <c r="P16" s="987"/>
      <c r="Q16" s="987"/>
      <c r="R16" s="987"/>
      <c r="S16" s="989"/>
      <c r="T16" s="990"/>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5" t="s">
        <v>2093</v>
      </c>
      <c r="B17" s="2146" t="s">
        <v>2094</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3" customFormat="1" ht="13.8"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7"/>
      <c r="B19" s="157"/>
      <c r="C19" s="157"/>
      <c r="D19" s="2147" t="s">
        <v>2095</v>
      </c>
      <c r="E19" s="1337"/>
      <c r="F19" s="1337"/>
      <c r="G19" s="1337"/>
      <c r="H19" s="1056"/>
      <c r="I19" s="157"/>
      <c r="J19" s="157"/>
      <c r="K19" s="157"/>
      <c r="L19" s="157"/>
      <c r="M19" s="157"/>
      <c r="N19" s="157"/>
      <c r="O19" s="157"/>
      <c r="P19" s="157"/>
      <c r="Q19" s="157"/>
      <c r="R19" s="716"/>
      <c r="S19" s="127"/>
    </row>
    <row r="20" spans="1:45" ht="16.2" thickBot="1">
      <c r="A20" s="660" t="s">
        <v>2096</v>
      </c>
      <c r="B20" s="292" t="e">
        <f ca="1">IF(D20="——",S22,S22-F20)</f>
        <v>#REF!</v>
      </c>
      <c r="C20" s="157"/>
      <c r="D20" s="2148"/>
      <c r="E20" s="1338"/>
      <c r="F20" s="980" t="e">
        <f ca="1">SUMIF(INDIRECT("'"&amp;H20&amp;"'"&amp;"!A:A"),"承租人权益价值",INDIRECT("'"&amp;H20&amp;"'"&amp;"!c:c"))</f>
        <v>#REF!</v>
      </c>
      <c r="G20" s="980" t="s">
        <v>2097</v>
      </c>
      <c r="H20" s="2149"/>
      <c r="I20" s="157"/>
      <c r="J20" s="157"/>
      <c r="K20" s="157"/>
      <c r="L20" s="157"/>
      <c r="M20" s="157"/>
      <c r="N20" s="157"/>
      <c r="O20" s="157"/>
      <c r="P20" s="157"/>
      <c r="Q20" s="157"/>
      <c r="R20" s="716"/>
      <c r="S20" s="127"/>
    </row>
    <row r="21" spans="1:45" ht="15.6">
      <c r="A21" s="660" t="s">
        <v>2098</v>
      </c>
      <c r="B21" s="292" t="e">
        <f ca="1">ROUND(B20*10000/B22,0)</f>
        <v>#REF!</v>
      </c>
      <c r="C21" s="157"/>
      <c r="D21" s="157"/>
      <c r="E21" s="157"/>
      <c r="F21" s="157"/>
      <c r="G21" s="157"/>
      <c r="H21" s="157"/>
      <c r="I21" s="157"/>
      <c r="J21" s="157"/>
      <c r="K21" s="157"/>
      <c r="L21" s="157"/>
      <c r="M21" s="157"/>
      <c r="N21" s="157"/>
      <c r="O21" s="157"/>
      <c r="P21" s="157"/>
      <c r="Q21" s="157"/>
      <c r="R21" s="716"/>
      <c r="S21" s="127"/>
    </row>
    <row r="22" spans="1:45">
      <c r="A22" s="314" t="s">
        <v>2099</v>
      </c>
      <c r="B22" s="21">
        <f>SUM(B24:B10000)</f>
        <v>0</v>
      </c>
      <c r="C22" s="3761" t="s">
        <v>27</v>
      </c>
      <c r="D22" s="3762"/>
      <c r="E22" s="3762"/>
      <c r="F22" s="3762"/>
      <c r="G22" s="3762"/>
      <c r="H22" s="3762"/>
      <c r="I22" s="3762"/>
      <c r="J22" s="3762"/>
      <c r="K22" s="3762"/>
      <c r="L22" s="3762"/>
      <c r="M22" s="3762"/>
      <c r="N22" s="3762"/>
      <c r="O22" s="3762"/>
      <c r="P22" s="3762"/>
      <c r="Q22" s="3763"/>
      <c r="R22" s="66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c r="C24" s="2807">
        <v>1</v>
      </c>
      <c r="D24" s="2808"/>
      <c r="E24" s="2807">
        <v>1</v>
      </c>
      <c r="F24" s="2808"/>
      <c r="G24" s="2807">
        <v>1</v>
      </c>
      <c r="H24" s="2808"/>
      <c r="I24" s="2807">
        <v>1</v>
      </c>
      <c r="J24" s="2808"/>
      <c r="K24" s="2807">
        <v>1</v>
      </c>
      <c r="L24" s="2808"/>
      <c r="M24" s="2807">
        <v>1</v>
      </c>
      <c r="N24" s="2808"/>
      <c r="O24" s="2807">
        <v>1</v>
      </c>
      <c r="P24" s="2808"/>
      <c r="Q24" s="2807">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8"/>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0</v>
      </c>
      <c r="S25" s="314">
        <f t="shared" si="11"/>
        <v>0</v>
      </c>
    </row>
    <row r="26" spans="1:45">
      <c r="A26" s="148"/>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4">
        <f t="shared" si="11"/>
        <v>0</v>
      </c>
    </row>
    <row r="27" spans="1:45">
      <c r="A27" s="148"/>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4">
        <f t="shared" si="11"/>
        <v>0</v>
      </c>
    </row>
    <row r="28" spans="1:45">
      <c r="A28" s="148"/>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4">
        <f t="shared" si="11"/>
        <v>0</v>
      </c>
    </row>
    <row r="29" spans="1:45">
      <c r="A29" s="148"/>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4">
        <f t="shared" si="11"/>
        <v>0</v>
      </c>
    </row>
    <row r="30" spans="1:45">
      <c r="A30" s="148"/>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4">
        <f t="shared" si="11"/>
        <v>0</v>
      </c>
    </row>
    <row r="31" spans="1:45">
      <c r="A31" s="148"/>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4">
        <f t="shared" si="11"/>
        <v>0</v>
      </c>
    </row>
    <row r="32" spans="1:45">
      <c r="A32" s="148"/>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4">
        <f t="shared" si="11"/>
        <v>0</v>
      </c>
    </row>
    <row r="33" spans="1:19">
      <c r="A33" s="148"/>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4">
        <f t="shared" si="11"/>
        <v>0</v>
      </c>
    </row>
    <row r="34" spans="1:19">
      <c r="A34" s="148"/>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4">
        <f t="shared" si="11"/>
        <v>0</v>
      </c>
    </row>
    <row r="35" spans="1:19">
      <c r="A35" s="148"/>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4">
        <f t="shared" si="11"/>
        <v>0</v>
      </c>
    </row>
    <row r="36" spans="1:19">
      <c r="A36" s="148"/>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4">
        <f t="shared" si="11"/>
        <v>0</v>
      </c>
    </row>
    <row r="37" spans="1:19">
      <c r="A37" s="148"/>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4">
        <f t="shared" si="11"/>
        <v>0</v>
      </c>
    </row>
    <row r="38" spans="1:19">
      <c r="A38" s="148"/>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4">
        <f t="shared" si="11"/>
        <v>0</v>
      </c>
    </row>
    <row r="39" spans="1:19">
      <c r="A39" s="148"/>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4">
        <f t="shared" si="11"/>
        <v>0</v>
      </c>
    </row>
    <row r="40" spans="1:19">
      <c r="A40" s="148"/>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4">
        <f t="shared" si="11"/>
        <v>0</v>
      </c>
    </row>
    <row r="41" spans="1:19">
      <c r="A41" s="148"/>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4">
        <f t="shared" si="11"/>
        <v>0</v>
      </c>
    </row>
    <row r="42" spans="1:19">
      <c r="A42" s="148"/>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4">
        <f t="shared" si="11"/>
        <v>0</v>
      </c>
    </row>
    <row r="43" spans="1:19">
      <c r="A43" s="148"/>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4">
        <f t="shared" si="11"/>
        <v>0</v>
      </c>
    </row>
    <row r="44" spans="1:19">
      <c r="A44" s="148"/>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4">
        <f t="shared" si="11"/>
        <v>0</v>
      </c>
    </row>
    <row r="45" spans="1:19">
      <c r="A45" s="148"/>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4">
        <f t="shared" si="11"/>
        <v>0</v>
      </c>
    </row>
    <row r="46" spans="1:19">
      <c r="A46" s="148"/>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4">
        <f t="shared" si="11"/>
        <v>0</v>
      </c>
    </row>
    <row r="47" spans="1:19">
      <c r="A47" s="148"/>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4">
        <f t="shared" si="11"/>
        <v>0</v>
      </c>
    </row>
    <row r="48" spans="1:19">
      <c r="A48" s="148"/>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4">
        <f t="shared" si="11"/>
        <v>0</v>
      </c>
    </row>
    <row r="49" spans="1:19">
      <c r="A49" s="148"/>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4">
        <f t="shared" si="11"/>
        <v>0</v>
      </c>
    </row>
    <row r="50" spans="1:19">
      <c r="A50" s="148"/>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4">
        <f t="shared" si="11"/>
        <v>0</v>
      </c>
    </row>
    <row r="51" spans="1:19">
      <c r="A51" s="148"/>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4">
        <f t="shared" si="11"/>
        <v>0</v>
      </c>
    </row>
    <row r="52" spans="1:19">
      <c r="A52" s="148"/>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4">
        <f t="shared" si="11"/>
        <v>0</v>
      </c>
    </row>
    <row r="53" spans="1:19">
      <c r="A53" s="148"/>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4">
        <f t="shared" si="11"/>
        <v>0</v>
      </c>
    </row>
    <row r="54" spans="1:19">
      <c r="A54" s="148"/>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4">
        <f t="shared" si="11"/>
        <v>0</v>
      </c>
    </row>
    <row r="55" spans="1:19">
      <c r="A55" s="148"/>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4">
        <f t="shared" ref="S55:S77" si="21">ROUND(R55*B55/10000,0)</f>
        <v>0</v>
      </c>
    </row>
    <row r="56" spans="1:19">
      <c r="A56" s="148"/>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4">
        <f t="shared" si="21"/>
        <v>0</v>
      </c>
    </row>
    <row r="57" spans="1:19">
      <c r="A57" s="148"/>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4">
        <f t="shared" si="21"/>
        <v>0</v>
      </c>
    </row>
    <row r="58" spans="1:19">
      <c r="A58" s="148"/>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4">
        <f t="shared" si="21"/>
        <v>0</v>
      </c>
    </row>
    <row r="59" spans="1:19">
      <c r="A59" s="148"/>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4">
        <f t="shared" si="21"/>
        <v>0</v>
      </c>
    </row>
    <row r="60" spans="1:19">
      <c r="A60" s="148"/>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4">
        <f t="shared" si="21"/>
        <v>0</v>
      </c>
    </row>
    <row r="61" spans="1:19">
      <c r="A61" s="148"/>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4">
        <f t="shared" si="21"/>
        <v>0</v>
      </c>
    </row>
    <row r="62" spans="1:19">
      <c r="A62" s="148"/>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4">
        <f t="shared" si="21"/>
        <v>0</v>
      </c>
    </row>
    <row r="63" spans="1:19">
      <c r="A63" s="148"/>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4">
        <f t="shared" si="21"/>
        <v>0</v>
      </c>
    </row>
    <row r="64" spans="1:19">
      <c r="A64" s="148"/>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4">
        <f t="shared" si="21"/>
        <v>0</v>
      </c>
    </row>
    <row r="65" spans="1:19">
      <c r="A65" s="148"/>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4">
        <f t="shared" si="21"/>
        <v>0</v>
      </c>
    </row>
    <row r="66" spans="1:19">
      <c r="A66" s="148"/>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4">
        <f t="shared" si="21"/>
        <v>0</v>
      </c>
    </row>
    <row r="67" spans="1:19">
      <c r="A67" s="148"/>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4">
        <f t="shared" si="21"/>
        <v>0</v>
      </c>
    </row>
    <row r="68" spans="1:19">
      <c r="A68" s="148"/>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4">
        <f t="shared" si="21"/>
        <v>0</v>
      </c>
    </row>
    <row r="69" spans="1:19">
      <c r="A69" s="148"/>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4">
        <f t="shared" si="21"/>
        <v>0</v>
      </c>
    </row>
    <row r="70" spans="1:19">
      <c r="A70" s="148"/>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4">
        <f t="shared" si="21"/>
        <v>0</v>
      </c>
    </row>
    <row r="71" spans="1:19">
      <c r="A71" s="148"/>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4">
        <f t="shared" si="21"/>
        <v>0</v>
      </c>
    </row>
    <row r="72" spans="1:19">
      <c r="A72" s="148"/>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4">
        <f t="shared" si="21"/>
        <v>0</v>
      </c>
    </row>
    <row r="73" spans="1:19">
      <c r="A73" s="148"/>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4">
        <f t="shared" si="21"/>
        <v>0</v>
      </c>
    </row>
    <row r="74" spans="1:19">
      <c r="A74" s="148"/>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4">
        <f t="shared" si="21"/>
        <v>0</v>
      </c>
    </row>
    <row r="75" spans="1:19">
      <c r="A75" s="148"/>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4">
        <f t="shared" si="21"/>
        <v>0</v>
      </c>
    </row>
    <row r="76" spans="1:19">
      <c r="A76" s="148"/>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4">
        <f t="shared" si="21"/>
        <v>0</v>
      </c>
    </row>
    <row r="77" spans="1:19">
      <c r="A77" s="148"/>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4">
        <f t="shared" si="21"/>
        <v>0</v>
      </c>
    </row>
    <row r="78" spans="1:19">
      <c r="A78" s="148"/>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4">
        <f t="shared" ref="S78:S122" si="22">ROUND(R78*B78/10000,0)</f>
        <v>0</v>
      </c>
    </row>
    <row r="79" spans="1:19">
      <c r="A79" s="148"/>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4">
        <f t="shared" si="22"/>
        <v>0</v>
      </c>
    </row>
    <row r="80" spans="1:19">
      <c r="A80" s="148"/>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4">
        <f t="shared" si="22"/>
        <v>0</v>
      </c>
    </row>
    <row r="81" spans="1:19">
      <c r="A81" s="148"/>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4">
        <f t="shared" si="22"/>
        <v>0</v>
      </c>
    </row>
    <row r="82" spans="1:19">
      <c r="A82" s="148"/>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4">
        <f t="shared" si="22"/>
        <v>0</v>
      </c>
    </row>
    <row r="83" spans="1:19">
      <c r="A83" s="148"/>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4">
        <f t="shared" si="22"/>
        <v>0</v>
      </c>
    </row>
    <row r="84" spans="1:19">
      <c r="A84" s="148"/>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4">
        <f t="shared" si="22"/>
        <v>0</v>
      </c>
    </row>
    <row r="85" spans="1:19">
      <c r="A85" s="148"/>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4">
        <f t="shared" si="22"/>
        <v>0</v>
      </c>
    </row>
    <row r="86" spans="1:19">
      <c r="A86" s="148"/>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4">
        <f t="shared" si="22"/>
        <v>0</v>
      </c>
    </row>
    <row r="87" spans="1:19">
      <c r="A87" s="148"/>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4">
        <f t="shared" si="22"/>
        <v>0</v>
      </c>
    </row>
    <row r="88" spans="1:19">
      <c r="A88" s="148"/>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4">
        <f t="shared" si="22"/>
        <v>0</v>
      </c>
    </row>
    <row r="89" spans="1:19">
      <c r="A89" s="148"/>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4">
        <f t="shared" si="22"/>
        <v>0</v>
      </c>
    </row>
    <row r="90" spans="1:19">
      <c r="A90" s="148"/>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4">
        <f t="shared" si="22"/>
        <v>0</v>
      </c>
    </row>
    <row r="91" spans="1:19">
      <c r="A91" s="148"/>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4">
        <f t="shared" si="22"/>
        <v>0</v>
      </c>
    </row>
    <row r="92" spans="1:19">
      <c r="A92" s="148"/>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4">
        <f t="shared" si="22"/>
        <v>0</v>
      </c>
    </row>
    <row r="93" spans="1:19">
      <c r="A93" s="148"/>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4">
        <f t="shared" si="22"/>
        <v>0</v>
      </c>
    </row>
    <row r="94" spans="1:19">
      <c r="A94" s="148"/>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4">
        <f t="shared" si="22"/>
        <v>0</v>
      </c>
    </row>
    <row r="95" spans="1:19">
      <c r="A95" s="148"/>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4">
        <f t="shared" si="22"/>
        <v>0</v>
      </c>
    </row>
    <row r="96" spans="1:19">
      <c r="A96" s="148"/>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4">
        <f t="shared" si="22"/>
        <v>0</v>
      </c>
    </row>
    <row r="97" spans="1:19">
      <c r="A97" s="148"/>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4">
        <f t="shared" si="22"/>
        <v>0</v>
      </c>
    </row>
    <row r="98" spans="1:19">
      <c r="A98" s="148"/>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4">
        <f t="shared" si="22"/>
        <v>0</v>
      </c>
    </row>
    <row r="99" spans="1:19">
      <c r="A99" s="148"/>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4">
        <f t="shared" si="22"/>
        <v>0</v>
      </c>
    </row>
    <row r="100" spans="1:19">
      <c r="A100" s="148"/>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4">
        <f t="shared" si="22"/>
        <v>0</v>
      </c>
    </row>
    <row r="101" spans="1:19">
      <c r="A101" s="148"/>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4">
        <f t="shared" si="22"/>
        <v>0</v>
      </c>
    </row>
    <row r="102" spans="1:19">
      <c r="A102" s="148"/>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4">
        <f t="shared" si="22"/>
        <v>0</v>
      </c>
    </row>
    <row r="103" spans="1:19">
      <c r="A103" s="148"/>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4">
        <f t="shared" si="22"/>
        <v>0</v>
      </c>
    </row>
    <row r="104" spans="1:19">
      <c r="A104" s="148"/>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4">
        <f t="shared" si="22"/>
        <v>0</v>
      </c>
    </row>
    <row r="105" spans="1:19">
      <c r="A105" s="148"/>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4">
        <f t="shared" si="22"/>
        <v>0</v>
      </c>
    </row>
    <row r="106" spans="1:19">
      <c r="A106" s="148"/>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4">
        <f t="shared" si="22"/>
        <v>0</v>
      </c>
    </row>
    <row r="107" spans="1:19">
      <c r="A107" s="148"/>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4">
        <f t="shared" si="22"/>
        <v>0</v>
      </c>
    </row>
    <row r="108" spans="1:19">
      <c r="A108" s="148"/>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4">
        <f t="shared" si="22"/>
        <v>0</v>
      </c>
    </row>
    <row r="109" spans="1:19">
      <c r="A109" s="148"/>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4">
        <f t="shared" si="22"/>
        <v>0</v>
      </c>
    </row>
    <row r="110" spans="1:19">
      <c r="A110" s="148"/>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4">
        <f t="shared" si="22"/>
        <v>0</v>
      </c>
    </row>
    <row r="111" spans="1:19">
      <c r="A111" s="148"/>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4">
        <f t="shared" si="22"/>
        <v>0</v>
      </c>
    </row>
    <row r="112" spans="1:19">
      <c r="A112" s="148"/>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4">
        <f t="shared" si="22"/>
        <v>0</v>
      </c>
    </row>
    <row r="113" spans="1:19">
      <c r="A113" s="148"/>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4">
        <f t="shared" si="22"/>
        <v>0</v>
      </c>
    </row>
    <row r="114" spans="1:19">
      <c r="A114" s="148"/>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4">
        <f t="shared" si="22"/>
        <v>0</v>
      </c>
    </row>
    <row r="115" spans="1:19">
      <c r="A115" s="148"/>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4">
        <f t="shared" si="22"/>
        <v>0</v>
      </c>
    </row>
    <row r="116" spans="1:19">
      <c r="A116" s="148"/>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4">
        <f t="shared" si="22"/>
        <v>0</v>
      </c>
    </row>
    <row r="117" spans="1:19">
      <c r="A117" s="148"/>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4">
        <f t="shared" si="22"/>
        <v>0</v>
      </c>
    </row>
    <row r="118" spans="1:19">
      <c r="A118" s="148"/>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4">
        <f t="shared" si="22"/>
        <v>0</v>
      </c>
    </row>
    <row r="119" spans="1:19">
      <c r="A119" s="148"/>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4">
        <f t="shared" si="22"/>
        <v>0</v>
      </c>
    </row>
    <row r="120" spans="1:19">
      <c r="A120" s="148"/>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4">
        <f t="shared" si="22"/>
        <v>0</v>
      </c>
    </row>
    <row r="121" spans="1:19">
      <c r="A121" s="148"/>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4">
        <f t="shared" si="22"/>
        <v>0</v>
      </c>
    </row>
    <row r="122" spans="1:19">
      <c r="A122" s="148"/>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4">
        <f t="shared" si="22"/>
        <v>0</v>
      </c>
    </row>
    <row r="123" spans="1:19">
      <c r="A123" s="148"/>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4">
        <f t="shared" ref="S123:S186" si="32">ROUND(R123*B123/10000,0)</f>
        <v>0</v>
      </c>
    </row>
    <row r="124" spans="1:19">
      <c r="A124" s="148"/>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4">
        <f t="shared" si="32"/>
        <v>0</v>
      </c>
    </row>
    <row r="125" spans="1:19">
      <c r="A125" s="148"/>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4">
        <f t="shared" si="32"/>
        <v>0</v>
      </c>
    </row>
    <row r="126" spans="1:19">
      <c r="A126" s="148"/>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4">
        <f t="shared" si="32"/>
        <v>0</v>
      </c>
    </row>
    <row r="127" spans="1:19">
      <c r="A127" s="148"/>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4">
        <f t="shared" si="32"/>
        <v>0</v>
      </c>
    </row>
    <row r="128" spans="1:19">
      <c r="A128" s="148"/>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4">
        <f t="shared" si="32"/>
        <v>0</v>
      </c>
    </row>
    <row r="129" spans="1:19">
      <c r="A129" s="148"/>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4">
        <f t="shared" si="32"/>
        <v>0</v>
      </c>
    </row>
    <row r="130" spans="1:19">
      <c r="A130" s="148"/>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4">
        <f t="shared" si="32"/>
        <v>0</v>
      </c>
    </row>
    <row r="131" spans="1:19">
      <c r="A131" s="148"/>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4">
        <f t="shared" si="32"/>
        <v>0</v>
      </c>
    </row>
    <row r="132" spans="1:19">
      <c r="A132" s="148"/>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4">
        <f t="shared" si="32"/>
        <v>0</v>
      </c>
    </row>
    <row r="133" spans="1:19">
      <c r="A133" s="148"/>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4">
        <f t="shared" si="32"/>
        <v>0</v>
      </c>
    </row>
    <row r="134" spans="1:19">
      <c r="A134" s="148"/>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4">
        <f t="shared" si="32"/>
        <v>0</v>
      </c>
    </row>
    <row r="135" spans="1:19">
      <c r="A135" s="148"/>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4">
        <f t="shared" si="32"/>
        <v>0</v>
      </c>
    </row>
    <row r="136" spans="1:19">
      <c r="A136" s="148"/>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4">
        <f t="shared" si="32"/>
        <v>0</v>
      </c>
    </row>
    <row r="137" spans="1:19">
      <c r="A137" s="148"/>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4">
        <f t="shared" si="32"/>
        <v>0</v>
      </c>
    </row>
    <row r="138" spans="1:19">
      <c r="A138" s="148"/>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4">
        <f t="shared" si="32"/>
        <v>0</v>
      </c>
    </row>
    <row r="139" spans="1:19">
      <c r="A139" s="148"/>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4">
        <f t="shared" si="32"/>
        <v>0</v>
      </c>
    </row>
    <row r="140" spans="1:19">
      <c r="A140" s="148"/>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4">
        <f t="shared" si="32"/>
        <v>0</v>
      </c>
    </row>
    <row r="141" spans="1:19">
      <c r="A141" s="148"/>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4">
        <f t="shared" si="32"/>
        <v>0</v>
      </c>
    </row>
    <row r="142" spans="1:19">
      <c r="A142" s="148"/>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4">
        <f t="shared" si="32"/>
        <v>0</v>
      </c>
    </row>
    <row r="143" spans="1:19">
      <c r="A143" s="148"/>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4">
        <f t="shared" si="32"/>
        <v>0</v>
      </c>
    </row>
    <row r="144" spans="1:19">
      <c r="A144" s="148"/>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4">
        <f t="shared" si="32"/>
        <v>0</v>
      </c>
    </row>
    <row r="145" spans="1:19">
      <c r="A145" s="148"/>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4">
        <f t="shared" si="32"/>
        <v>0</v>
      </c>
    </row>
    <row r="146" spans="1:19">
      <c r="A146" s="148"/>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4">
        <f t="shared" si="32"/>
        <v>0</v>
      </c>
    </row>
    <row r="147" spans="1:19">
      <c r="A147" s="148"/>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4">
        <f t="shared" si="32"/>
        <v>0</v>
      </c>
    </row>
    <row r="148" spans="1:19">
      <c r="A148" s="148"/>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4">
        <f t="shared" si="32"/>
        <v>0</v>
      </c>
    </row>
    <row r="149" spans="1:19">
      <c r="A149" s="148"/>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4">
        <f t="shared" si="32"/>
        <v>0</v>
      </c>
    </row>
    <row r="150" spans="1:19">
      <c r="A150" s="148"/>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4">
        <f t="shared" si="32"/>
        <v>0</v>
      </c>
    </row>
    <row r="151" spans="1:19">
      <c r="A151" s="148"/>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4">
        <f t="shared" si="32"/>
        <v>0</v>
      </c>
    </row>
    <row r="152" spans="1:19">
      <c r="A152" s="148"/>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4">
        <f t="shared" si="32"/>
        <v>0</v>
      </c>
    </row>
    <row r="153" spans="1:19">
      <c r="A153" s="148"/>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4">
        <f t="shared" si="32"/>
        <v>0</v>
      </c>
    </row>
    <row r="154" spans="1:19">
      <c r="A154" s="148"/>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4">
        <f t="shared" si="32"/>
        <v>0</v>
      </c>
    </row>
    <row r="155" spans="1:19">
      <c r="A155" s="148"/>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4">
        <f t="shared" si="32"/>
        <v>0</v>
      </c>
    </row>
    <row r="156" spans="1:19">
      <c r="A156" s="148"/>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4">
        <f t="shared" si="32"/>
        <v>0</v>
      </c>
    </row>
    <row r="157" spans="1:19">
      <c r="A157" s="148"/>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4">
        <f t="shared" si="32"/>
        <v>0</v>
      </c>
    </row>
    <row r="158" spans="1:19">
      <c r="A158" s="148"/>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4">
        <f t="shared" si="32"/>
        <v>0</v>
      </c>
    </row>
    <row r="159" spans="1:19">
      <c r="A159" s="148"/>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4">
        <f t="shared" si="32"/>
        <v>0</v>
      </c>
    </row>
    <row r="160" spans="1:19">
      <c r="A160" s="148"/>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4">
        <f t="shared" si="32"/>
        <v>0</v>
      </c>
    </row>
    <row r="161" spans="1:19">
      <c r="A161" s="148"/>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4">
        <f t="shared" si="32"/>
        <v>0</v>
      </c>
    </row>
    <row r="162" spans="1:19">
      <c r="A162" s="148"/>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4">
        <f t="shared" si="32"/>
        <v>0</v>
      </c>
    </row>
    <row r="163" spans="1:19">
      <c r="A163" s="148"/>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4">
        <f t="shared" si="32"/>
        <v>0</v>
      </c>
    </row>
    <row r="164" spans="1:19">
      <c r="A164" s="148"/>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4">
        <f t="shared" si="32"/>
        <v>0</v>
      </c>
    </row>
    <row r="165" spans="1:19">
      <c r="A165" s="148"/>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4">
        <f t="shared" si="32"/>
        <v>0</v>
      </c>
    </row>
    <row r="166" spans="1:19">
      <c r="A166" s="148"/>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4">
        <f t="shared" si="32"/>
        <v>0</v>
      </c>
    </row>
    <row r="167" spans="1:19">
      <c r="A167" s="148"/>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4">
        <f t="shared" si="32"/>
        <v>0</v>
      </c>
    </row>
    <row r="168" spans="1:19">
      <c r="A168" s="148"/>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4">
        <f t="shared" si="32"/>
        <v>0</v>
      </c>
    </row>
    <row r="169" spans="1:19">
      <c r="A169" s="148"/>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4">
        <f t="shared" si="32"/>
        <v>0</v>
      </c>
    </row>
    <row r="170" spans="1:19">
      <c r="A170" s="148"/>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4">
        <f t="shared" si="32"/>
        <v>0</v>
      </c>
    </row>
    <row r="171" spans="1:19">
      <c r="A171" s="148"/>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4">
        <f t="shared" si="32"/>
        <v>0</v>
      </c>
    </row>
    <row r="172" spans="1:19">
      <c r="A172" s="148"/>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4">
        <f t="shared" si="32"/>
        <v>0</v>
      </c>
    </row>
    <row r="173" spans="1:19">
      <c r="A173" s="148"/>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4">
        <f t="shared" si="32"/>
        <v>0</v>
      </c>
    </row>
    <row r="174" spans="1:19">
      <c r="A174" s="148"/>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4">
        <f t="shared" si="32"/>
        <v>0</v>
      </c>
    </row>
    <row r="175" spans="1:19">
      <c r="A175" s="148"/>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4">
        <f t="shared" si="32"/>
        <v>0</v>
      </c>
    </row>
    <row r="176" spans="1:19">
      <c r="A176" s="148"/>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4">
        <f t="shared" si="32"/>
        <v>0</v>
      </c>
    </row>
    <row r="177" spans="1:19">
      <c r="A177" s="148"/>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4">
        <f t="shared" si="32"/>
        <v>0</v>
      </c>
    </row>
    <row r="178" spans="1:19">
      <c r="A178" s="148"/>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4">
        <f t="shared" si="32"/>
        <v>0</v>
      </c>
    </row>
    <row r="179" spans="1:19">
      <c r="A179" s="148"/>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4">
        <f t="shared" si="32"/>
        <v>0</v>
      </c>
    </row>
    <row r="180" spans="1:19">
      <c r="A180" s="148"/>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4">
        <f t="shared" si="32"/>
        <v>0</v>
      </c>
    </row>
    <row r="181" spans="1:19">
      <c r="A181" s="148"/>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4">
        <f t="shared" si="32"/>
        <v>0</v>
      </c>
    </row>
    <row r="182" spans="1:19">
      <c r="A182" s="148"/>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4">
        <f t="shared" si="32"/>
        <v>0</v>
      </c>
    </row>
    <row r="183" spans="1:19">
      <c r="A183" s="148"/>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4">
        <f t="shared" si="32"/>
        <v>0</v>
      </c>
    </row>
    <row r="184" spans="1:19">
      <c r="A184" s="148"/>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4">
        <f t="shared" si="32"/>
        <v>0</v>
      </c>
    </row>
    <row r="185" spans="1:19">
      <c r="A185" s="148"/>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4">
        <f t="shared" si="32"/>
        <v>0</v>
      </c>
    </row>
    <row r="186" spans="1:19">
      <c r="A186" s="148"/>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4">
        <f t="shared" si="32"/>
        <v>0</v>
      </c>
    </row>
    <row r="187" spans="1:19">
      <c r="A187" s="148"/>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4">
        <f t="shared" ref="S187:S222" si="42">ROUND(R187*B187/10000,0)</f>
        <v>0</v>
      </c>
    </row>
    <row r="188" spans="1:19">
      <c r="A188" s="148"/>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4">
        <f t="shared" si="42"/>
        <v>0</v>
      </c>
    </row>
    <row r="189" spans="1:19">
      <c r="A189" s="148"/>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4">
        <f t="shared" si="42"/>
        <v>0</v>
      </c>
    </row>
    <row r="190" spans="1:19">
      <c r="A190" s="148"/>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4">
        <f t="shared" si="42"/>
        <v>0</v>
      </c>
    </row>
    <row r="191" spans="1:19">
      <c r="A191" s="148"/>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4">
        <f t="shared" si="42"/>
        <v>0</v>
      </c>
    </row>
    <row r="192" spans="1:19">
      <c r="A192" s="148"/>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4">
        <f t="shared" si="42"/>
        <v>0</v>
      </c>
    </row>
    <row r="193" spans="1:19">
      <c r="A193" s="148"/>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4">
        <f t="shared" si="42"/>
        <v>0</v>
      </c>
    </row>
    <row r="194" spans="1:19">
      <c r="A194" s="148"/>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4">
        <f t="shared" si="42"/>
        <v>0</v>
      </c>
    </row>
    <row r="195" spans="1:19">
      <c r="A195" s="148"/>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4">
        <f t="shared" si="42"/>
        <v>0</v>
      </c>
    </row>
    <row r="196" spans="1:19">
      <c r="A196" s="148"/>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4">
        <f t="shared" si="42"/>
        <v>0</v>
      </c>
    </row>
    <row r="197" spans="1:19">
      <c r="A197" s="148"/>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4">
        <f t="shared" si="42"/>
        <v>0</v>
      </c>
    </row>
    <row r="198" spans="1:19">
      <c r="A198" s="148"/>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4">
        <f t="shared" si="42"/>
        <v>0</v>
      </c>
    </row>
    <row r="199" spans="1:19">
      <c r="A199" s="148"/>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4">
        <f t="shared" si="42"/>
        <v>0</v>
      </c>
    </row>
    <row r="200" spans="1:19">
      <c r="A200" s="148"/>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4">
        <f t="shared" si="42"/>
        <v>0</v>
      </c>
    </row>
    <row r="201" spans="1:19">
      <c r="A201" s="148"/>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4">
        <f t="shared" si="42"/>
        <v>0</v>
      </c>
    </row>
    <row r="202" spans="1:19">
      <c r="A202" s="148"/>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4">
        <f t="shared" si="42"/>
        <v>0</v>
      </c>
    </row>
    <row r="203" spans="1:19">
      <c r="A203" s="148"/>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4">
        <f t="shared" si="42"/>
        <v>0</v>
      </c>
    </row>
    <row r="204" spans="1:19">
      <c r="A204" s="148"/>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4">
        <f t="shared" si="42"/>
        <v>0</v>
      </c>
    </row>
    <row r="205" spans="1:19">
      <c r="A205" s="148"/>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4">
        <f t="shared" si="42"/>
        <v>0</v>
      </c>
    </row>
    <row r="206" spans="1:19">
      <c r="A206" s="148"/>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4">
        <f t="shared" si="42"/>
        <v>0</v>
      </c>
    </row>
    <row r="207" spans="1:19">
      <c r="A207" s="148"/>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4">
        <f t="shared" si="42"/>
        <v>0</v>
      </c>
    </row>
    <row r="208" spans="1:19">
      <c r="A208" s="148"/>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4">
        <f t="shared" si="42"/>
        <v>0</v>
      </c>
    </row>
    <row r="209" spans="1:19">
      <c r="A209" s="148"/>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4">
        <f t="shared" si="42"/>
        <v>0</v>
      </c>
    </row>
    <row r="210" spans="1:19">
      <c r="A210" s="148"/>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4">
        <f t="shared" si="42"/>
        <v>0</v>
      </c>
    </row>
    <row r="211" spans="1:19">
      <c r="A211" s="148"/>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4">
        <f t="shared" si="42"/>
        <v>0</v>
      </c>
    </row>
    <row r="212" spans="1:19">
      <c r="A212" s="148"/>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4">
        <f t="shared" si="42"/>
        <v>0</v>
      </c>
    </row>
    <row r="213" spans="1:19">
      <c r="A213" s="148"/>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4">
        <f t="shared" si="42"/>
        <v>0</v>
      </c>
    </row>
    <row r="214" spans="1:19">
      <c r="A214" s="148"/>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4">
        <f t="shared" si="42"/>
        <v>0</v>
      </c>
    </row>
    <row r="215" spans="1:19">
      <c r="A215" s="148"/>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4">
        <f t="shared" si="42"/>
        <v>0</v>
      </c>
    </row>
    <row r="216" spans="1:19">
      <c r="A216" s="148"/>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4">
        <f t="shared" si="42"/>
        <v>0</v>
      </c>
    </row>
    <row r="217" spans="1:19">
      <c r="A217" s="148"/>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4">
        <f t="shared" si="42"/>
        <v>0</v>
      </c>
    </row>
    <row r="218" spans="1:19">
      <c r="A218" s="148"/>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4">
        <f t="shared" si="42"/>
        <v>0</v>
      </c>
    </row>
    <row r="219" spans="1:19">
      <c r="A219" s="148"/>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4">
        <f t="shared" si="42"/>
        <v>0</v>
      </c>
    </row>
    <row r="220" spans="1:19">
      <c r="A220" s="148"/>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4">
        <f t="shared" si="42"/>
        <v>0</v>
      </c>
    </row>
    <row r="221" spans="1:19">
      <c r="A221" s="148"/>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4">
        <f t="shared" si="42"/>
        <v>0</v>
      </c>
    </row>
    <row r="222" spans="1:19">
      <c r="A222" s="148"/>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4">
        <f t="shared" si="42"/>
        <v>0</v>
      </c>
    </row>
    <row r="223" spans="1:19">
      <c r="A223" s="148"/>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4">
        <f t="shared" ref="S223:S286" si="52">ROUND(R223*B223/10000,0)</f>
        <v>0</v>
      </c>
    </row>
    <row r="224" spans="1:19">
      <c r="A224" s="148"/>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4">
        <f t="shared" si="52"/>
        <v>0</v>
      </c>
    </row>
    <row r="225" spans="1:19">
      <c r="A225" s="148"/>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4">
        <f t="shared" si="52"/>
        <v>0</v>
      </c>
    </row>
    <row r="226" spans="1:19">
      <c r="A226" s="148"/>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4">
        <f t="shared" si="52"/>
        <v>0</v>
      </c>
    </row>
    <row r="227" spans="1:19">
      <c r="A227" s="148"/>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4">
        <f t="shared" si="52"/>
        <v>0</v>
      </c>
    </row>
    <row r="228" spans="1:19">
      <c r="A228" s="148"/>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4">
        <f t="shared" si="52"/>
        <v>0</v>
      </c>
    </row>
    <row r="229" spans="1:19">
      <c r="A229" s="148"/>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4">
        <f t="shared" si="52"/>
        <v>0</v>
      </c>
    </row>
    <row r="230" spans="1:19">
      <c r="A230" s="148"/>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4">
        <f t="shared" si="52"/>
        <v>0</v>
      </c>
    </row>
    <row r="231" spans="1:19">
      <c r="A231" s="148"/>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4">
        <f t="shared" si="52"/>
        <v>0</v>
      </c>
    </row>
    <row r="232" spans="1:19">
      <c r="A232" s="148"/>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4">
        <f t="shared" si="52"/>
        <v>0</v>
      </c>
    </row>
    <row r="233" spans="1:19">
      <c r="A233" s="148"/>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4">
        <f t="shared" si="52"/>
        <v>0</v>
      </c>
    </row>
    <row r="234" spans="1:19">
      <c r="A234" s="148"/>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4">
        <f t="shared" si="52"/>
        <v>0</v>
      </c>
    </row>
    <row r="235" spans="1:19">
      <c r="A235" s="148"/>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4">
        <f t="shared" si="52"/>
        <v>0</v>
      </c>
    </row>
    <row r="236" spans="1:19">
      <c r="A236" s="148"/>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4">
        <f t="shared" si="52"/>
        <v>0</v>
      </c>
    </row>
    <row r="237" spans="1:19">
      <c r="A237" s="148"/>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4">
        <f t="shared" si="52"/>
        <v>0</v>
      </c>
    </row>
    <row r="238" spans="1:19">
      <c r="A238" s="148"/>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4">
        <f t="shared" si="52"/>
        <v>0</v>
      </c>
    </row>
    <row r="239" spans="1:19">
      <c r="A239" s="148"/>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4">
        <f t="shared" si="52"/>
        <v>0</v>
      </c>
    </row>
    <row r="240" spans="1:19">
      <c r="A240" s="148"/>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4">
        <f t="shared" si="52"/>
        <v>0</v>
      </c>
    </row>
    <row r="241" spans="1:19">
      <c r="A241" s="148"/>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4">
        <f t="shared" si="52"/>
        <v>0</v>
      </c>
    </row>
    <row r="242" spans="1:19">
      <c r="A242" s="148"/>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4">
        <f t="shared" si="52"/>
        <v>0</v>
      </c>
    </row>
    <row r="243" spans="1:19">
      <c r="A243" s="148"/>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4">
        <f t="shared" si="52"/>
        <v>0</v>
      </c>
    </row>
    <row r="244" spans="1:19">
      <c r="A244" s="148"/>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4">
        <f t="shared" si="52"/>
        <v>0</v>
      </c>
    </row>
    <row r="245" spans="1:19">
      <c r="A245" s="148"/>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4">
        <f t="shared" si="52"/>
        <v>0</v>
      </c>
    </row>
    <row r="246" spans="1:19">
      <c r="A246" s="148"/>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4">
        <f t="shared" si="52"/>
        <v>0</v>
      </c>
    </row>
    <row r="247" spans="1:19">
      <c r="A247" s="148"/>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4">
        <f t="shared" si="52"/>
        <v>0</v>
      </c>
    </row>
    <row r="248" spans="1:19">
      <c r="A248" s="148"/>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4">
        <f t="shared" si="52"/>
        <v>0</v>
      </c>
    </row>
    <row r="249" spans="1:19">
      <c r="A249" s="148"/>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4">
        <f t="shared" si="52"/>
        <v>0</v>
      </c>
    </row>
    <row r="250" spans="1:19">
      <c r="A250" s="148"/>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4">
        <f t="shared" si="52"/>
        <v>0</v>
      </c>
    </row>
    <row r="251" spans="1:19">
      <c r="A251" s="148"/>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4">
        <f t="shared" si="52"/>
        <v>0</v>
      </c>
    </row>
    <row r="252" spans="1:19">
      <c r="A252" s="148"/>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4">
        <f t="shared" si="52"/>
        <v>0</v>
      </c>
    </row>
    <row r="253" spans="1:19">
      <c r="A253" s="148"/>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4">
        <f t="shared" si="52"/>
        <v>0</v>
      </c>
    </row>
    <row r="254" spans="1:19">
      <c r="A254" s="148"/>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4">
        <f t="shared" si="52"/>
        <v>0</v>
      </c>
    </row>
    <row r="255" spans="1:19">
      <c r="A255" s="148"/>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4">
        <f t="shared" si="52"/>
        <v>0</v>
      </c>
    </row>
    <row r="256" spans="1:19">
      <c r="A256" s="148"/>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4">
        <f t="shared" si="52"/>
        <v>0</v>
      </c>
    </row>
    <row r="257" spans="1:19">
      <c r="A257" s="148"/>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4">
        <f t="shared" si="52"/>
        <v>0</v>
      </c>
    </row>
    <row r="258" spans="1:19">
      <c r="A258" s="148"/>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4">
        <f t="shared" si="52"/>
        <v>0</v>
      </c>
    </row>
    <row r="259" spans="1:19">
      <c r="A259" s="148"/>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4">
        <f t="shared" si="52"/>
        <v>0</v>
      </c>
    </row>
    <row r="260" spans="1:19">
      <c r="A260" s="148"/>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4">
        <f t="shared" si="52"/>
        <v>0</v>
      </c>
    </row>
    <row r="261" spans="1:19">
      <c r="A261" s="148"/>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4">
        <f t="shared" si="52"/>
        <v>0</v>
      </c>
    </row>
    <row r="262" spans="1:19">
      <c r="A262" s="148"/>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4">
        <f t="shared" si="52"/>
        <v>0</v>
      </c>
    </row>
    <row r="263" spans="1:19">
      <c r="A263" s="148"/>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4">
        <f t="shared" si="52"/>
        <v>0</v>
      </c>
    </row>
    <row r="264" spans="1:19">
      <c r="A264" s="148"/>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4">
        <f t="shared" si="52"/>
        <v>0</v>
      </c>
    </row>
    <row r="265" spans="1:19">
      <c r="A265" s="148"/>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4">
        <f t="shared" si="52"/>
        <v>0</v>
      </c>
    </row>
    <row r="266" spans="1:19">
      <c r="A266" s="148"/>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4">
        <f t="shared" si="52"/>
        <v>0</v>
      </c>
    </row>
    <row r="267" spans="1:19">
      <c r="A267" s="148"/>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4">
        <f t="shared" si="52"/>
        <v>0</v>
      </c>
    </row>
    <row r="268" spans="1:19">
      <c r="A268" s="148"/>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4">
        <f t="shared" si="52"/>
        <v>0</v>
      </c>
    </row>
    <row r="269" spans="1:19">
      <c r="A269" s="148"/>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4">
        <f t="shared" si="52"/>
        <v>0</v>
      </c>
    </row>
    <row r="270" spans="1:19">
      <c r="A270" s="148"/>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4">
        <f t="shared" si="52"/>
        <v>0</v>
      </c>
    </row>
    <row r="271" spans="1:19">
      <c r="A271" s="148"/>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4">
        <f t="shared" si="52"/>
        <v>0</v>
      </c>
    </row>
    <row r="272" spans="1:19">
      <c r="A272" s="148"/>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4">
        <f t="shared" si="52"/>
        <v>0</v>
      </c>
    </row>
    <row r="273" spans="1:19">
      <c r="A273" s="148"/>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4">
        <f t="shared" si="52"/>
        <v>0</v>
      </c>
    </row>
    <row r="274" spans="1:19">
      <c r="A274" s="148"/>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4">
        <f t="shared" si="52"/>
        <v>0</v>
      </c>
    </row>
    <row r="275" spans="1:19">
      <c r="A275" s="148"/>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4">
        <f t="shared" si="52"/>
        <v>0</v>
      </c>
    </row>
    <row r="276" spans="1:19">
      <c r="A276" s="148"/>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4">
        <f t="shared" si="52"/>
        <v>0</v>
      </c>
    </row>
    <row r="277" spans="1:19">
      <c r="A277" s="148"/>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4">
        <f t="shared" si="52"/>
        <v>0</v>
      </c>
    </row>
    <row r="278" spans="1:19">
      <c r="A278" s="148"/>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4">
        <f t="shared" si="52"/>
        <v>0</v>
      </c>
    </row>
    <row r="279" spans="1:19">
      <c r="A279" s="148"/>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4">
        <f t="shared" si="52"/>
        <v>0</v>
      </c>
    </row>
    <row r="280" spans="1:19">
      <c r="A280" s="148"/>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4">
        <f t="shared" si="52"/>
        <v>0</v>
      </c>
    </row>
    <row r="281" spans="1:19">
      <c r="A281" s="148"/>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4">
        <f t="shared" si="52"/>
        <v>0</v>
      </c>
    </row>
    <row r="282" spans="1:19">
      <c r="A282" s="148"/>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4">
        <f t="shared" si="52"/>
        <v>0</v>
      </c>
    </row>
    <row r="283" spans="1:19">
      <c r="A283" s="148"/>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4">
        <f t="shared" si="52"/>
        <v>0</v>
      </c>
    </row>
    <row r="284" spans="1:19">
      <c r="A284" s="148"/>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4">
        <f t="shared" si="52"/>
        <v>0</v>
      </c>
    </row>
    <row r="285" spans="1:19">
      <c r="A285" s="148"/>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4">
        <f t="shared" si="52"/>
        <v>0</v>
      </c>
    </row>
    <row r="286" spans="1:19">
      <c r="A286" s="148"/>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4">
        <f t="shared" si="52"/>
        <v>0</v>
      </c>
    </row>
    <row r="287" spans="1:19">
      <c r="A287" s="148"/>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4">
        <f t="shared" ref="S287:S320" si="62">ROUND(R287*B287/10000,0)</f>
        <v>0</v>
      </c>
    </row>
    <row r="288" spans="1:19">
      <c r="A288" s="148"/>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4">
        <f t="shared" si="62"/>
        <v>0</v>
      </c>
    </row>
    <row r="289" spans="1:19">
      <c r="A289" s="148"/>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4">
        <f t="shared" si="62"/>
        <v>0</v>
      </c>
    </row>
    <row r="290" spans="1:19">
      <c r="A290" s="148"/>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4">
        <f t="shared" si="62"/>
        <v>0</v>
      </c>
    </row>
    <row r="291" spans="1:19">
      <c r="A291" s="148"/>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4">
        <f t="shared" si="62"/>
        <v>0</v>
      </c>
    </row>
    <row r="292" spans="1:19">
      <c r="A292" s="148"/>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4">
        <f t="shared" si="62"/>
        <v>0</v>
      </c>
    </row>
    <row r="293" spans="1:19">
      <c r="A293" s="148"/>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4">
        <f t="shared" si="62"/>
        <v>0</v>
      </c>
    </row>
    <row r="294" spans="1:19">
      <c r="A294" s="148"/>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4">
        <f t="shared" si="62"/>
        <v>0</v>
      </c>
    </row>
    <row r="295" spans="1:19">
      <c r="A295" s="148"/>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4">
        <f t="shared" si="62"/>
        <v>0</v>
      </c>
    </row>
    <row r="296" spans="1:19">
      <c r="A296" s="148"/>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4">
        <f t="shared" si="62"/>
        <v>0</v>
      </c>
    </row>
    <row r="297" spans="1:19">
      <c r="A297" s="148"/>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4">
        <f t="shared" si="62"/>
        <v>0</v>
      </c>
    </row>
    <row r="298" spans="1:19">
      <c r="A298" s="148"/>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4">
        <f t="shared" si="62"/>
        <v>0</v>
      </c>
    </row>
    <row r="299" spans="1:19">
      <c r="A299" s="148"/>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4">
        <f t="shared" si="62"/>
        <v>0</v>
      </c>
    </row>
    <row r="300" spans="1:19">
      <c r="A300" s="148"/>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4">
        <f t="shared" si="62"/>
        <v>0</v>
      </c>
    </row>
    <row r="301" spans="1:19">
      <c r="A301" s="148"/>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4">
        <f t="shared" si="62"/>
        <v>0</v>
      </c>
    </row>
    <row r="302" spans="1:19">
      <c r="A302" s="148"/>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4">
        <f t="shared" si="62"/>
        <v>0</v>
      </c>
    </row>
    <row r="303" spans="1:19">
      <c r="A303" s="148"/>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4">
        <f t="shared" si="62"/>
        <v>0</v>
      </c>
    </row>
    <row r="304" spans="1:19">
      <c r="A304" s="148"/>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4">
        <f t="shared" si="62"/>
        <v>0</v>
      </c>
    </row>
    <row r="305" spans="1:19">
      <c r="A305" s="148"/>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4">
        <f t="shared" si="62"/>
        <v>0</v>
      </c>
    </row>
    <row r="306" spans="1:19">
      <c r="A306" s="148"/>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4">
        <f t="shared" si="62"/>
        <v>0</v>
      </c>
    </row>
    <row r="307" spans="1:19">
      <c r="A307" s="148"/>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4">
        <f t="shared" si="62"/>
        <v>0</v>
      </c>
    </row>
    <row r="308" spans="1:19">
      <c r="A308" s="148"/>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4">
        <f t="shared" si="62"/>
        <v>0</v>
      </c>
    </row>
    <row r="309" spans="1:19">
      <c r="A309" s="148"/>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4">
        <f t="shared" si="62"/>
        <v>0</v>
      </c>
    </row>
    <row r="310" spans="1:19">
      <c r="A310" s="148"/>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4">
        <f t="shared" si="62"/>
        <v>0</v>
      </c>
    </row>
    <row r="311" spans="1:19">
      <c r="A311" s="148"/>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4">
        <f t="shared" si="62"/>
        <v>0</v>
      </c>
    </row>
    <row r="312" spans="1:19">
      <c r="A312" s="148"/>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4">
        <f t="shared" si="62"/>
        <v>0</v>
      </c>
    </row>
    <row r="313" spans="1:19">
      <c r="A313" s="148"/>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4">
        <f t="shared" si="62"/>
        <v>0</v>
      </c>
    </row>
    <row r="314" spans="1:19">
      <c r="A314" s="148"/>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4">
        <f t="shared" si="62"/>
        <v>0</v>
      </c>
    </row>
    <row r="315" spans="1:19">
      <c r="A315" s="148"/>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4">
        <f t="shared" si="62"/>
        <v>0</v>
      </c>
    </row>
    <row r="316" spans="1:19">
      <c r="A316" s="148"/>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4">
        <f t="shared" si="62"/>
        <v>0</v>
      </c>
    </row>
    <row r="317" spans="1:19">
      <c r="A317" s="148"/>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4">
        <f t="shared" si="62"/>
        <v>0</v>
      </c>
    </row>
    <row r="318" spans="1:19">
      <c r="A318" s="148"/>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4">
        <f t="shared" si="62"/>
        <v>0</v>
      </c>
    </row>
    <row r="319" spans="1:19">
      <c r="A319" s="148"/>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4">
        <f t="shared" si="62"/>
        <v>0</v>
      </c>
    </row>
    <row r="320" spans="1:19">
      <c r="A320" s="148"/>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4">
        <f t="shared" si="62"/>
        <v>0</v>
      </c>
    </row>
    <row r="321" spans="1:19">
      <c r="A321" s="148"/>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4">
        <f t="shared" ref="S321:S384" si="63">ROUND(R321*B321/10000,0)</f>
        <v>0</v>
      </c>
    </row>
    <row r="322" spans="1:19">
      <c r="A322" s="148"/>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4">
        <f t="shared" si="63"/>
        <v>0</v>
      </c>
    </row>
    <row r="323" spans="1:19">
      <c r="A323" s="148"/>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4">
        <f t="shared" si="63"/>
        <v>0</v>
      </c>
    </row>
    <row r="324" spans="1:19">
      <c r="A324" s="148"/>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4">
        <f t="shared" si="63"/>
        <v>0</v>
      </c>
    </row>
    <row r="325" spans="1:19">
      <c r="A325" s="148"/>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4">
        <f t="shared" si="63"/>
        <v>0</v>
      </c>
    </row>
    <row r="326" spans="1:19">
      <c r="A326" s="148"/>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4">
        <f t="shared" si="63"/>
        <v>0</v>
      </c>
    </row>
    <row r="327" spans="1:19">
      <c r="A327" s="148"/>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4">
        <f t="shared" si="63"/>
        <v>0</v>
      </c>
    </row>
    <row r="328" spans="1:19">
      <c r="A328" s="148"/>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4">
        <f t="shared" si="63"/>
        <v>0</v>
      </c>
    </row>
    <row r="329" spans="1:19">
      <c r="A329" s="148"/>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4">
        <f t="shared" si="63"/>
        <v>0</v>
      </c>
    </row>
    <row r="330" spans="1:19">
      <c r="A330" s="148"/>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4">
        <f t="shared" si="63"/>
        <v>0</v>
      </c>
    </row>
    <row r="331" spans="1:19">
      <c r="A331" s="148"/>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4">
        <f t="shared" si="63"/>
        <v>0</v>
      </c>
    </row>
    <row r="332" spans="1:19">
      <c r="A332" s="148"/>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4">
        <f t="shared" si="63"/>
        <v>0</v>
      </c>
    </row>
    <row r="333" spans="1:19">
      <c r="A333" s="148"/>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4">
        <f t="shared" si="63"/>
        <v>0</v>
      </c>
    </row>
    <row r="334" spans="1:19">
      <c r="A334" s="148"/>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4">
        <f t="shared" si="63"/>
        <v>0</v>
      </c>
    </row>
    <row r="335" spans="1:19">
      <c r="A335" s="148"/>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4">
        <f t="shared" si="63"/>
        <v>0</v>
      </c>
    </row>
    <row r="336" spans="1:19">
      <c r="A336" s="148"/>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4">
        <f t="shared" si="63"/>
        <v>0</v>
      </c>
    </row>
    <row r="337" spans="1:19">
      <c r="A337" s="148"/>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4">
        <f t="shared" si="63"/>
        <v>0</v>
      </c>
    </row>
    <row r="338" spans="1:19">
      <c r="A338" s="148"/>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4">
        <f t="shared" si="63"/>
        <v>0</v>
      </c>
    </row>
    <row r="339" spans="1:19">
      <c r="A339" s="148"/>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4">
        <f t="shared" si="63"/>
        <v>0</v>
      </c>
    </row>
    <row r="340" spans="1:19">
      <c r="A340" s="148"/>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4">
        <f t="shared" si="63"/>
        <v>0</v>
      </c>
    </row>
    <row r="341" spans="1:19">
      <c r="A341" s="148"/>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4">
        <f t="shared" si="63"/>
        <v>0</v>
      </c>
    </row>
    <row r="342" spans="1:19">
      <c r="A342" s="148"/>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4">
        <f t="shared" si="63"/>
        <v>0</v>
      </c>
    </row>
    <row r="343" spans="1:19">
      <c r="A343" s="148"/>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4">
        <f t="shared" si="63"/>
        <v>0</v>
      </c>
    </row>
    <row r="344" spans="1:19">
      <c r="A344" s="148"/>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4">
        <f t="shared" si="63"/>
        <v>0</v>
      </c>
    </row>
    <row r="345" spans="1:19">
      <c r="A345" s="148"/>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4">
        <f t="shared" si="63"/>
        <v>0</v>
      </c>
    </row>
    <row r="346" spans="1:19">
      <c r="A346" s="148"/>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4">
        <f t="shared" si="63"/>
        <v>0</v>
      </c>
    </row>
    <row r="347" spans="1:19">
      <c r="A347" s="148"/>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4">
        <f t="shared" si="63"/>
        <v>0</v>
      </c>
    </row>
    <row r="348" spans="1:19">
      <c r="A348" s="148"/>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4">
        <f t="shared" si="63"/>
        <v>0</v>
      </c>
    </row>
    <row r="349" spans="1:19">
      <c r="A349" s="148"/>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4">
        <f t="shared" si="63"/>
        <v>0</v>
      </c>
    </row>
    <row r="350" spans="1:19">
      <c r="A350" s="148"/>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4">
        <f t="shared" si="63"/>
        <v>0</v>
      </c>
    </row>
    <row r="351" spans="1:19">
      <c r="A351" s="148"/>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4">
        <f t="shared" si="63"/>
        <v>0</v>
      </c>
    </row>
    <row r="352" spans="1:19">
      <c r="A352" s="148"/>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4">
        <f t="shared" si="63"/>
        <v>0</v>
      </c>
    </row>
    <row r="353" spans="1:19">
      <c r="A353" s="148"/>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4">
        <f t="shared" si="63"/>
        <v>0</v>
      </c>
    </row>
    <row r="354" spans="1:19">
      <c r="A354" s="148"/>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4">
        <f t="shared" si="63"/>
        <v>0</v>
      </c>
    </row>
    <row r="355" spans="1:19">
      <c r="A355" s="148"/>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4">
        <f t="shared" si="63"/>
        <v>0</v>
      </c>
    </row>
    <row r="356" spans="1:19">
      <c r="A356" s="148"/>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4">
        <f t="shared" si="63"/>
        <v>0</v>
      </c>
    </row>
    <row r="357" spans="1:19">
      <c r="A357" s="148"/>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4">
        <f t="shared" si="63"/>
        <v>0</v>
      </c>
    </row>
    <row r="358" spans="1:19">
      <c r="A358" s="148"/>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4">
        <f t="shared" si="63"/>
        <v>0</v>
      </c>
    </row>
    <row r="359" spans="1:19">
      <c r="A359" s="148"/>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4">
        <f t="shared" si="63"/>
        <v>0</v>
      </c>
    </row>
    <row r="360" spans="1:19">
      <c r="A360" s="148"/>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4">
        <f t="shared" si="63"/>
        <v>0</v>
      </c>
    </row>
    <row r="361" spans="1:19">
      <c r="A361" s="148"/>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4">
        <f t="shared" si="63"/>
        <v>0</v>
      </c>
    </row>
    <row r="362" spans="1:19">
      <c r="A362" s="148"/>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4">
        <f t="shared" si="63"/>
        <v>0</v>
      </c>
    </row>
    <row r="363" spans="1:19">
      <c r="A363" s="148"/>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4">
        <f t="shared" si="63"/>
        <v>0</v>
      </c>
    </row>
    <row r="364" spans="1:19">
      <c r="A364" s="148"/>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4">
        <f t="shared" si="63"/>
        <v>0</v>
      </c>
    </row>
    <row r="365" spans="1:19">
      <c r="A365" s="148"/>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4">
        <f t="shared" si="63"/>
        <v>0</v>
      </c>
    </row>
    <row r="366" spans="1:19">
      <c r="A366" s="148"/>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4">
        <f t="shared" si="63"/>
        <v>0</v>
      </c>
    </row>
    <row r="367" spans="1:19">
      <c r="A367" s="148"/>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4">
        <f t="shared" si="63"/>
        <v>0</v>
      </c>
    </row>
    <row r="368" spans="1:19">
      <c r="A368" s="148"/>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4">
        <f t="shared" si="63"/>
        <v>0</v>
      </c>
    </row>
    <row r="369" spans="1:19">
      <c r="A369" s="148"/>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4">
        <f t="shared" si="63"/>
        <v>0</v>
      </c>
    </row>
    <row r="370" spans="1:19">
      <c r="A370" s="148"/>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4">
        <f t="shared" si="63"/>
        <v>0</v>
      </c>
    </row>
    <row r="371" spans="1:19">
      <c r="A371" s="148"/>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4">
        <f t="shared" si="63"/>
        <v>0</v>
      </c>
    </row>
    <row r="372" spans="1:19">
      <c r="A372" s="148"/>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4">
        <f t="shared" si="63"/>
        <v>0</v>
      </c>
    </row>
    <row r="373" spans="1:19">
      <c r="A373" s="148"/>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4">
        <f t="shared" si="63"/>
        <v>0</v>
      </c>
    </row>
    <row r="374" spans="1:19">
      <c r="A374" s="148"/>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4">
        <f t="shared" si="63"/>
        <v>0</v>
      </c>
    </row>
    <row r="375" spans="1:19">
      <c r="A375" s="148"/>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4">
        <f t="shared" si="63"/>
        <v>0</v>
      </c>
    </row>
    <row r="376" spans="1:19">
      <c r="A376" s="148"/>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4">
        <f t="shared" si="63"/>
        <v>0</v>
      </c>
    </row>
    <row r="377" spans="1:19">
      <c r="A377" s="148"/>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4">
        <f t="shared" si="63"/>
        <v>0</v>
      </c>
    </row>
    <row r="378" spans="1:19">
      <c r="A378" s="148"/>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4">
        <f t="shared" si="63"/>
        <v>0</v>
      </c>
    </row>
    <row r="379" spans="1:19">
      <c r="A379" s="148"/>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4">
        <f t="shared" si="63"/>
        <v>0</v>
      </c>
    </row>
    <row r="380" spans="1:19">
      <c r="A380" s="148"/>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4">
        <f t="shared" si="63"/>
        <v>0</v>
      </c>
    </row>
    <row r="381" spans="1:19">
      <c r="A381" s="148"/>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4">
        <f t="shared" si="63"/>
        <v>0</v>
      </c>
    </row>
    <row r="382" spans="1:19">
      <c r="A382" s="148"/>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4">
        <f t="shared" si="63"/>
        <v>0</v>
      </c>
    </row>
    <row r="383" spans="1:19">
      <c r="A383" s="148"/>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4">
        <f t="shared" si="63"/>
        <v>0</v>
      </c>
    </row>
    <row r="384" spans="1:19">
      <c r="A384" s="148"/>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4">
        <f t="shared" si="63"/>
        <v>0</v>
      </c>
    </row>
    <row r="385" spans="1:19">
      <c r="A385" s="148"/>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4">
        <f t="shared" ref="S385:S422" si="73">ROUND(R385*B385/10000,0)</f>
        <v>0</v>
      </c>
    </row>
    <row r="386" spans="1:19">
      <c r="A386" s="148"/>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4">
        <f t="shared" si="73"/>
        <v>0</v>
      </c>
    </row>
    <row r="387" spans="1:19">
      <c r="A387" s="148"/>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4">
        <f t="shared" si="73"/>
        <v>0</v>
      </c>
    </row>
    <row r="388" spans="1:19">
      <c r="A388" s="148"/>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4">
        <f t="shared" si="73"/>
        <v>0</v>
      </c>
    </row>
    <row r="389" spans="1:19">
      <c r="A389" s="148"/>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4">
        <f t="shared" si="73"/>
        <v>0</v>
      </c>
    </row>
    <row r="390" spans="1:19">
      <c r="A390" s="148"/>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4">
        <f t="shared" si="73"/>
        <v>0</v>
      </c>
    </row>
    <row r="391" spans="1:19">
      <c r="A391" s="148"/>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4">
        <f t="shared" si="73"/>
        <v>0</v>
      </c>
    </row>
    <row r="392" spans="1:19">
      <c r="A392" s="148"/>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4">
        <f t="shared" si="73"/>
        <v>0</v>
      </c>
    </row>
    <row r="393" spans="1:19">
      <c r="A393" s="148"/>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4">
        <f t="shared" si="73"/>
        <v>0</v>
      </c>
    </row>
    <row r="394" spans="1:19">
      <c r="A394" s="148"/>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4">
        <f t="shared" si="73"/>
        <v>0</v>
      </c>
    </row>
    <row r="395" spans="1:19">
      <c r="A395" s="148"/>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4">
        <f t="shared" si="73"/>
        <v>0</v>
      </c>
    </row>
    <row r="396" spans="1:19">
      <c r="A396" s="148"/>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4">
        <f t="shared" si="73"/>
        <v>0</v>
      </c>
    </row>
    <row r="397" spans="1:19">
      <c r="A397" s="148"/>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4">
        <f t="shared" si="73"/>
        <v>0</v>
      </c>
    </row>
    <row r="398" spans="1:19">
      <c r="A398" s="148"/>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4">
        <f t="shared" si="73"/>
        <v>0</v>
      </c>
    </row>
    <row r="399" spans="1:19">
      <c r="A399" s="148"/>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4">
        <f t="shared" si="73"/>
        <v>0</v>
      </c>
    </row>
    <row r="400" spans="1:19">
      <c r="A400" s="148"/>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4">
        <f t="shared" si="73"/>
        <v>0</v>
      </c>
    </row>
    <row r="401" spans="1:19">
      <c r="A401" s="148"/>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4">
        <f t="shared" si="73"/>
        <v>0</v>
      </c>
    </row>
    <row r="402" spans="1:19">
      <c r="A402" s="148"/>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4">
        <f t="shared" si="73"/>
        <v>0</v>
      </c>
    </row>
    <row r="403" spans="1:19">
      <c r="A403" s="148"/>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4">
        <f t="shared" si="73"/>
        <v>0</v>
      </c>
    </row>
    <row r="404" spans="1:19">
      <c r="A404" s="148"/>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4">
        <f t="shared" si="73"/>
        <v>0</v>
      </c>
    </row>
    <row r="405" spans="1:19">
      <c r="A405" s="148"/>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4">
        <f t="shared" si="73"/>
        <v>0</v>
      </c>
    </row>
    <row r="406" spans="1:19">
      <c r="A406" s="148"/>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4">
        <f t="shared" si="73"/>
        <v>0</v>
      </c>
    </row>
    <row r="407" spans="1:19">
      <c r="A407" s="148"/>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4">
        <f t="shared" si="73"/>
        <v>0</v>
      </c>
    </row>
    <row r="408" spans="1:19">
      <c r="A408" s="148"/>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4">
        <f t="shared" si="73"/>
        <v>0</v>
      </c>
    </row>
    <row r="409" spans="1:19">
      <c r="A409" s="148"/>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4">
        <f t="shared" si="73"/>
        <v>0</v>
      </c>
    </row>
    <row r="410" spans="1:19">
      <c r="A410" s="148"/>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4">
        <f t="shared" si="73"/>
        <v>0</v>
      </c>
    </row>
    <row r="411" spans="1:19">
      <c r="A411" s="148"/>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4">
        <f t="shared" si="73"/>
        <v>0</v>
      </c>
    </row>
    <row r="412" spans="1:19">
      <c r="A412" s="148"/>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4">
        <f t="shared" si="73"/>
        <v>0</v>
      </c>
    </row>
    <row r="413" spans="1:19">
      <c r="A413" s="148"/>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4">
        <f t="shared" si="73"/>
        <v>0</v>
      </c>
    </row>
    <row r="414" spans="1:19">
      <c r="A414" s="148"/>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4">
        <f t="shared" si="73"/>
        <v>0</v>
      </c>
    </row>
    <row r="415" spans="1:19">
      <c r="A415" s="148"/>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4">
        <f t="shared" si="73"/>
        <v>0</v>
      </c>
    </row>
    <row r="416" spans="1:19">
      <c r="A416" s="148"/>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4">
        <f t="shared" si="73"/>
        <v>0</v>
      </c>
    </row>
    <row r="417" spans="1:19">
      <c r="A417" s="148"/>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4">
        <f t="shared" si="73"/>
        <v>0</v>
      </c>
    </row>
    <row r="418" spans="1:19">
      <c r="A418" s="148"/>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4">
        <f t="shared" si="73"/>
        <v>0</v>
      </c>
    </row>
    <row r="419" spans="1:19">
      <c r="A419" s="148"/>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4">
        <f t="shared" si="73"/>
        <v>0</v>
      </c>
    </row>
    <row r="420" spans="1:19">
      <c r="A420" s="148"/>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4">
        <f t="shared" si="73"/>
        <v>0</v>
      </c>
    </row>
    <row r="421" spans="1:19">
      <c r="A421" s="148"/>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4">
        <f t="shared" si="73"/>
        <v>0</v>
      </c>
    </row>
    <row r="422" spans="1:19">
      <c r="A422" s="148"/>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4">
        <f t="shared" si="73"/>
        <v>0</v>
      </c>
    </row>
    <row r="423" spans="1:19">
      <c r="A423" s="148"/>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4">
        <f t="shared" ref="S423:S467" si="83">ROUND(R423*B423/10000,0)</f>
        <v>0</v>
      </c>
    </row>
    <row r="424" spans="1:19">
      <c r="A424" s="148"/>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4">
        <f t="shared" si="83"/>
        <v>0</v>
      </c>
    </row>
    <row r="425" spans="1:19">
      <c r="A425" s="148"/>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4">
        <f t="shared" si="83"/>
        <v>0</v>
      </c>
    </row>
    <row r="426" spans="1:19">
      <c r="A426" s="148"/>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4">
        <f t="shared" si="83"/>
        <v>0</v>
      </c>
    </row>
    <row r="427" spans="1:19">
      <c r="A427" s="148"/>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4">
        <f t="shared" si="83"/>
        <v>0</v>
      </c>
    </row>
    <row r="428" spans="1:19">
      <c r="A428" s="148"/>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4">
        <f t="shared" si="83"/>
        <v>0</v>
      </c>
    </row>
    <row r="429" spans="1:19">
      <c r="A429" s="148"/>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4">
        <f t="shared" si="83"/>
        <v>0</v>
      </c>
    </row>
    <row r="430" spans="1:19">
      <c r="A430" s="148"/>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4">
        <f t="shared" si="83"/>
        <v>0</v>
      </c>
    </row>
    <row r="431" spans="1:19">
      <c r="A431" s="148"/>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4">
        <f t="shared" si="83"/>
        <v>0</v>
      </c>
    </row>
    <row r="432" spans="1:19">
      <c r="A432" s="148"/>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4">
        <f t="shared" si="83"/>
        <v>0</v>
      </c>
    </row>
    <row r="433" spans="1:19">
      <c r="A433" s="148"/>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4">
        <f t="shared" si="83"/>
        <v>0</v>
      </c>
    </row>
    <row r="434" spans="1:19">
      <c r="A434" s="148"/>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4">
        <f t="shared" si="83"/>
        <v>0</v>
      </c>
    </row>
    <row r="435" spans="1:19">
      <c r="A435" s="148"/>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4">
        <f t="shared" si="83"/>
        <v>0</v>
      </c>
    </row>
    <row r="436" spans="1:19">
      <c r="A436" s="148"/>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4">
        <f t="shared" si="83"/>
        <v>0</v>
      </c>
    </row>
    <row r="437" spans="1:19">
      <c r="A437" s="148"/>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4">
        <f t="shared" si="83"/>
        <v>0</v>
      </c>
    </row>
    <row r="438" spans="1:19">
      <c r="A438" s="148"/>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4">
        <f t="shared" si="83"/>
        <v>0</v>
      </c>
    </row>
    <row r="439" spans="1:19">
      <c r="A439" s="148"/>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4">
        <f t="shared" si="83"/>
        <v>0</v>
      </c>
    </row>
    <row r="440" spans="1:19">
      <c r="A440" s="148"/>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4">
        <f t="shared" si="83"/>
        <v>0</v>
      </c>
    </row>
    <row r="441" spans="1:19">
      <c r="A441" s="148"/>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4">
        <f t="shared" si="83"/>
        <v>0</v>
      </c>
    </row>
    <row r="442" spans="1:19">
      <c r="A442" s="148"/>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4">
        <f t="shared" si="83"/>
        <v>0</v>
      </c>
    </row>
    <row r="443" spans="1:19">
      <c r="A443" s="148"/>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4">
        <f t="shared" si="83"/>
        <v>0</v>
      </c>
    </row>
    <row r="444" spans="1:19">
      <c r="A444" s="148"/>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4">
        <f t="shared" si="83"/>
        <v>0</v>
      </c>
    </row>
    <row r="445" spans="1:19">
      <c r="A445" s="148"/>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4">
        <f t="shared" si="83"/>
        <v>0</v>
      </c>
    </row>
    <row r="446" spans="1:19">
      <c r="A446" s="148"/>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4">
        <f t="shared" si="83"/>
        <v>0</v>
      </c>
    </row>
    <row r="447" spans="1:19">
      <c r="A447" s="148"/>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4">
        <f t="shared" si="83"/>
        <v>0</v>
      </c>
    </row>
    <row r="448" spans="1:19">
      <c r="A448" s="148"/>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4">
        <f t="shared" si="83"/>
        <v>0</v>
      </c>
    </row>
    <row r="449" spans="1:19">
      <c r="A449" s="148"/>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4">
        <f t="shared" si="83"/>
        <v>0</v>
      </c>
    </row>
    <row r="450" spans="1:19">
      <c r="A450" s="148"/>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4">
        <f t="shared" si="83"/>
        <v>0</v>
      </c>
    </row>
    <row r="451" spans="1:19">
      <c r="A451" s="148"/>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4">
        <f t="shared" si="83"/>
        <v>0</v>
      </c>
    </row>
    <row r="452" spans="1:19">
      <c r="A452" s="148"/>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4">
        <f t="shared" si="83"/>
        <v>0</v>
      </c>
    </row>
    <row r="453" spans="1:19">
      <c r="A453" s="148"/>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4">
        <f t="shared" si="83"/>
        <v>0</v>
      </c>
    </row>
    <row r="454" spans="1:19">
      <c r="A454" s="148"/>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4">
        <f t="shared" si="83"/>
        <v>0</v>
      </c>
    </row>
    <row r="455" spans="1:19">
      <c r="A455" s="148"/>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4">
        <f t="shared" si="83"/>
        <v>0</v>
      </c>
    </row>
    <row r="456" spans="1:19">
      <c r="A456" s="148"/>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4">
        <f t="shared" si="83"/>
        <v>0</v>
      </c>
    </row>
    <row r="457" spans="1:19">
      <c r="A457" s="148"/>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4">
        <f t="shared" si="83"/>
        <v>0</v>
      </c>
    </row>
    <row r="458" spans="1:19">
      <c r="A458" s="148"/>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4">
        <f t="shared" si="83"/>
        <v>0</v>
      </c>
    </row>
    <row r="459" spans="1:19">
      <c r="A459" s="148"/>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4">
        <f t="shared" si="83"/>
        <v>0</v>
      </c>
    </row>
    <row r="460" spans="1:19">
      <c r="A460" s="148"/>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4">
        <f t="shared" si="83"/>
        <v>0</v>
      </c>
    </row>
    <row r="461" spans="1:19">
      <c r="A461" s="148"/>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4">
        <f t="shared" si="83"/>
        <v>0</v>
      </c>
    </row>
    <row r="462" spans="1:19">
      <c r="A462" s="148"/>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4">
        <f t="shared" si="83"/>
        <v>0</v>
      </c>
    </row>
    <row r="463" spans="1:19">
      <c r="A463" s="148"/>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4">
        <f t="shared" si="83"/>
        <v>0</v>
      </c>
    </row>
    <row r="464" spans="1:19">
      <c r="A464" s="148"/>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4">
        <f t="shared" si="83"/>
        <v>0</v>
      </c>
    </row>
    <row r="465" spans="1:19">
      <c r="A465" s="148"/>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4">
        <f t="shared" si="83"/>
        <v>0</v>
      </c>
    </row>
    <row r="466" spans="1:19">
      <c r="A466" s="148"/>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4">
        <f t="shared" si="83"/>
        <v>0</v>
      </c>
    </row>
    <row r="467" spans="1:19">
      <c r="A467" s="148"/>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4">
        <f t="shared" si="83"/>
        <v>0</v>
      </c>
    </row>
    <row r="468" spans="1:19">
      <c r="A468" s="148"/>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4">
        <f t="shared" ref="S468:S497" si="84">ROUND(R468*B468/10000,0)</f>
        <v>0</v>
      </c>
    </row>
    <row r="469" spans="1:19">
      <c r="A469" s="148"/>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4">
        <f t="shared" si="84"/>
        <v>0</v>
      </c>
    </row>
    <row r="470" spans="1:19">
      <c r="A470" s="148"/>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4">
        <f t="shared" si="84"/>
        <v>0</v>
      </c>
    </row>
    <row r="471" spans="1:19">
      <c r="A471" s="148"/>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4">
        <f t="shared" si="84"/>
        <v>0</v>
      </c>
    </row>
    <row r="472" spans="1:19">
      <c r="A472" s="148"/>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4">
        <f t="shared" si="84"/>
        <v>0</v>
      </c>
    </row>
    <row r="473" spans="1:19">
      <c r="A473" s="148"/>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4">
        <f t="shared" si="84"/>
        <v>0</v>
      </c>
    </row>
    <row r="474" spans="1:19">
      <c r="A474" s="148"/>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4">
        <f t="shared" si="84"/>
        <v>0</v>
      </c>
    </row>
    <row r="475" spans="1:19">
      <c r="A475" s="148"/>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4">
        <f t="shared" si="84"/>
        <v>0</v>
      </c>
    </row>
    <row r="476" spans="1:19">
      <c r="A476" s="148"/>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4">
        <f t="shared" si="84"/>
        <v>0</v>
      </c>
    </row>
    <row r="477" spans="1:19">
      <c r="A477" s="148"/>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4">
        <f t="shared" si="84"/>
        <v>0</v>
      </c>
    </row>
    <row r="478" spans="1:19">
      <c r="A478" s="148"/>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4">
        <f t="shared" si="84"/>
        <v>0</v>
      </c>
    </row>
    <row r="479" spans="1:19">
      <c r="A479" s="148"/>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4">
        <f t="shared" si="84"/>
        <v>0</v>
      </c>
    </row>
    <row r="480" spans="1:19">
      <c r="A480" s="148"/>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4">
        <f t="shared" si="84"/>
        <v>0</v>
      </c>
    </row>
    <row r="481" spans="1:19">
      <c r="A481" s="148"/>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4">
        <f t="shared" si="84"/>
        <v>0</v>
      </c>
    </row>
    <row r="482" spans="1:19">
      <c r="A482" s="148"/>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4">
        <f t="shared" si="84"/>
        <v>0</v>
      </c>
    </row>
    <row r="483" spans="1:19">
      <c r="A483" s="148"/>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4">
        <f t="shared" si="84"/>
        <v>0</v>
      </c>
    </row>
    <row r="484" spans="1:19">
      <c r="A484" s="148"/>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4">
        <f t="shared" si="84"/>
        <v>0</v>
      </c>
    </row>
    <row r="485" spans="1:19">
      <c r="A485" s="148"/>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4">
        <f t="shared" si="84"/>
        <v>0</v>
      </c>
    </row>
    <row r="486" spans="1:19">
      <c r="A486" s="148"/>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4">
        <f t="shared" si="84"/>
        <v>0</v>
      </c>
    </row>
    <row r="487" spans="1:19">
      <c r="A487" s="148"/>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4">
        <f t="shared" si="84"/>
        <v>0</v>
      </c>
    </row>
    <row r="488" spans="1:19">
      <c r="A488" s="148"/>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4">
        <f t="shared" si="84"/>
        <v>0</v>
      </c>
    </row>
    <row r="489" spans="1:19">
      <c r="A489" s="148"/>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4">
        <f t="shared" si="84"/>
        <v>0</v>
      </c>
    </row>
    <row r="490" spans="1:19">
      <c r="A490" s="148"/>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4">
        <f t="shared" si="84"/>
        <v>0</v>
      </c>
    </row>
    <row r="491" spans="1:19">
      <c r="A491" s="148"/>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4">
        <f t="shared" si="84"/>
        <v>0</v>
      </c>
    </row>
    <row r="492" spans="1:19">
      <c r="A492" s="148"/>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4">
        <f t="shared" si="84"/>
        <v>0</v>
      </c>
    </row>
    <row r="493" spans="1:19">
      <c r="A493" s="148"/>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4">
        <f t="shared" si="84"/>
        <v>0</v>
      </c>
    </row>
    <row r="494" spans="1:19">
      <c r="A494" s="148"/>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4">
        <f t="shared" si="84"/>
        <v>0</v>
      </c>
    </row>
    <row r="495" spans="1:19">
      <c r="A495" s="148"/>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4">
        <f t="shared" si="84"/>
        <v>0</v>
      </c>
    </row>
    <row r="496" spans="1:19">
      <c r="A496" s="148"/>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4">
        <f t="shared" si="84"/>
        <v>0</v>
      </c>
    </row>
    <row r="497" spans="1:19">
      <c r="A497" s="148"/>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4">
        <f t="shared" si="84"/>
        <v>0</v>
      </c>
    </row>
    <row r="498" spans="1:19">
      <c r="A498" s="148"/>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4">
        <f t="shared" ref="S498:S524" si="94">ROUND(R498*B498/10000,0)</f>
        <v>0</v>
      </c>
    </row>
    <row r="499" spans="1:19">
      <c r="A499" s="148"/>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4">
        <f t="shared" si="94"/>
        <v>0</v>
      </c>
    </row>
    <row r="500" spans="1:19">
      <c r="A500" s="148"/>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4">
        <f t="shared" si="94"/>
        <v>0</v>
      </c>
    </row>
    <row r="501" spans="1:19">
      <c r="A501" s="148"/>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4">
        <f t="shared" si="94"/>
        <v>0</v>
      </c>
    </row>
    <row r="502" spans="1:19">
      <c r="A502" s="148"/>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4">
        <f t="shared" si="94"/>
        <v>0</v>
      </c>
    </row>
    <row r="503" spans="1:19">
      <c r="A503" s="148"/>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4">
        <f t="shared" si="94"/>
        <v>0</v>
      </c>
    </row>
    <row r="504" spans="1:19">
      <c r="A504" s="148"/>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4">
        <f t="shared" si="94"/>
        <v>0</v>
      </c>
    </row>
    <row r="505" spans="1:19">
      <c r="A505" s="148"/>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4">
        <f t="shared" si="94"/>
        <v>0</v>
      </c>
    </row>
    <row r="506" spans="1:19">
      <c r="A506" s="148"/>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4">
        <f t="shared" si="94"/>
        <v>0</v>
      </c>
    </row>
    <row r="507" spans="1:19">
      <c r="A507" s="148"/>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4">
        <f t="shared" si="94"/>
        <v>0</v>
      </c>
    </row>
    <row r="508" spans="1:19">
      <c r="A508" s="148"/>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4">
        <f t="shared" si="94"/>
        <v>0</v>
      </c>
    </row>
    <row r="509" spans="1:19">
      <c r="A509" s="148"/>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4">
        <f t="shared" si="94"/>
        <v>0</v>
      </c>
    </row>
    <row r="510" spans="1:19">
      <c r="A510" s="148"/>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4">
        <f t="shared" si="94"/>
        <v>0</v>
      </c>
    </row>
    <row r="511" spans="1:19">
      <c r="A511" s="148"/>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4">
        <f t="shared" si="94"/>
        <v>0</v>
      </c>
    </row>
    <row r="512" spans="1:19">
      <c r="A512" s="148"/>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4">
        <f t="shared" si="94"/>
        <v>0</v>
      </c>
    </row>
    <row r="513" spans="1:19">
      <c r="A513" s="148"/>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4">
        <f t="shared" si="94"/>
        <v>0</v>
      </c>
    </row>
    <row r="514" spans="1:19">
      <c r="A514" s="148"/>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4">
        <f t="shared" si="94"/>
        <v>0</v>
      </c>
    </row>
    <row r="515" spans="1:19">
      <c r="A515" s="148"/>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4">
        <f t="shared" si="94"/>
        <v>0</v>
      </c>
    </row>
    <row r="516" spans="1:19">
      <c r="A516" s="148"/>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4">
        <f t="shared" si="94"/>
        <v>0</v>
      </c>
    </row>
    <row r="517" spans="1:19">
      <c r="A517" s="148"/>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4">
        <f t="shared" si="94"/>
        <v>0</v>
      </c>
    </row>
    <row r="518" spans="1:19">
      <c r="A518" s="148"/>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4">
        <f t="shared" si="94"/>
        <v>0</v>
      </c>
    </row>
    <row r="519" spans="1:19">
      <c r="A519" s="148"/>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4">
        <f t="shared" si="94"/>
        <v>0</v>
      </c>
    </row>
    <row r="520" spans="1:19">
      <c r="A520" s="148"/>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4">
        <f t="shared" si="94"/>
        <v>0</v>
      </c>
    </row>
    <row r="521" spans="1:19">
      <c r="A521" s="148"/>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4">
        <f t="shared" si="94"/>
        <v>0</v>
      </c>
    </row>
    <row r="522" spans="1:19">
      <c r="A522" s="148"/>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4">
        <f t="shared" si="94"/>
        <v>0</v>
      </c>
    </row>
    <row r="523" spans="1:19">
      <c r="A523" s="148"/>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4">
        <f t="shared" si="94"/>
        <v>0</v>
      </c>
    </row>
    <row r="524" spans="1:19">
      <c r="A524" s="148"/>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4" customWidth="1"/>
    <col min="2" max="2" width="12.44140625" style="1474" customWidth="1"/>
    <col min="3" max="3" width="12.109375" style="1474" customWidth="1"/>
    <col min="4" max="4" width="14.109375" style="1474" customWidth="1"/>
    <col min="5" max="5" width="12.44140625" style="1474" customWidth="1"/>
    <col min="6" max="16384" width="9" style="1474"/>
  </cols>
  <sheetData>
    <row r="1" spans="1:16" ht="21.6">
      <c r="A1" s="1864" t="s">
        <v>2081</v>
      </c>
      <c r="B1" s="2144"/>
      <c r="C1" s="2144"/>
      <c r="D1" s="2144"/>
      <c r="E1" s="2144"/>
      <c r="F1" s="2790"/>
      <c r="G1" s="2790"/>
      <c r="H1" s="2790"/>
      <c r="I1" s="2790"/>
      <c r="J1" s="2790"/>
      <c r="K1" s="2790"/>
      <c r="L1" s="2790"/>
      <c r="M1" s="2790"/>
      <c r="N1" s="2790"/>
      <c r="O1" s="2790"/>
      <c r="P1" s="2790"/>
    </row>
    <row r="2" spans="1:16" ht="15.6">
      <c r="A2" s="2142" t="s">
        <v>2073</v>
      </c>
      <c r="B2" s="2599">
        <f ca="1">SUMIF(B6:B13,"&lt;&gt;#ref!",B6:B13)</f>
        <v>3351</v>
      </c>
      <c r="C2" s="2142" t="s">
        <v>2074</v>
      </c>
      <c r="D2" s="2142" t="s">
        <v>2075</v>
      </c>
      <c r="E2" s="2609">
        <f ca="1">SUMIF(E6:E13,"&lt;&gt;#ref!",E6:E13)</f>
        <v>2229.4899999999998</v>
      </c>
      <c r="F2" s="2790"/>
      <c r="G2" s="2790"/>
      <c r="H2" s="2790"/>
      <c r="I2" s="2790"/>
      <c r="J2" s="2790"/>
      <c r="K2" s="2790"/>
      <c r="L2" s="2790"/>
      <c r="M2" s="2790"/>
      <c r="N2" s="2790"/>
      <c r="O2" s="2790"/>
      <c r="P2" s="2790"/>
    </row>
    <row r="3" spans="1:16" ht="15.6">
      <c r="A3" s="2142" t="s">
        <v>2076</v>
      </c>
      <c r="B3" s="2599">
        <f ca="1">ROUND(B2*10000/E2,0)</f>
        <v>15030</v>
      </c>
      <c r="C3" s="2142" t="s">
        <v>2082</v>
      </c>
      <c r="D3" s="2790"/>
      <c r="E3" s="2790"/>
      <c r="F3" s="2790"/>
      <c r="G3" s="2790"/>
      <c r="H3" s="2790"/>
      <c r="I3" s="2790"/>
      <c r="J3" s="2790"/>
      <c r="K3" s="2790"/>
      <c r="L3" s="2790"/>
      <c r="M3" s="2790"/>
      <c r="N3" s="2790"/>
      <c r="O3" s="2790"/>
      <c r="P3" s="2790"/>
    </row>
    <row r="4" spans="1:16" ht="15.6">
      <c r="A4" s="2791"/>
      <c r="B4" s="2790"/>
      <c r="C4" s="2790"/>
      <c r="D4" s="2790"/>
      <c r="E4" s="2790"/>
      <c r="F4" s="2790"/>
      <c r="G4" s="2790"/>
      <c r="H4" s="2790"/>
      <c r="I4" s="2790"/>
      <c r="J4" s="2790"/>
      <c r="K4" s="2790"/>
      <c r="L4" s="2790"/>
      <c r="M4" s="2790"/>
      <c r="N4" s="2790"/>
      <c r="O4" s="2790"/>
      <c r="P4" s="2790"/>
    </row>
    <row r="5" spans="1:16" ht="31.2">
      <c r="A5" s="2605" t="s">
        <v>2077</v>
      </c>
      <c r="B5" s="2607" t="s">
        <v>2078</v>
      </c>
      <c r="C5" s="2143"/>
      <c r="D5" s="2790"/>
      <c r="E5" s="2608" t="s">
        <v>2079</v>
      </c>
      <c r="F5" s="2790"/>
      <c r="G5" s="2790"/>
      <c r="H5" s="2790"/>
      <c r="I5" s="2790"/>
      <c r="J5" s="2790"/>
      <c r="K5" s="2790"/>
      <c r="L5" s="2790"/>
      <c r="M5" s="2790"/>
      <c r="N5" s="2790"/>
      <c r="O5" s="2790"/>
      <c r="P5" s="2790"/>
    </row>
    <row r="6" spans="1:16" ht="15.6">
      <c r="A6" s="2606" t="s">
        <v>2080</v>
      </c>
      <c r="B6" s="2599">
        <f ca="1">SUMIF(INDIRECT("'"&amp;A6&amp;"'"&amp;"!A:A"),"总价",INDIRECT("'"&amp;A6&amp;"'"&amp;"!B:B"))</f>
        <v>3351</v>
      </c>
      <c r="C6" s="2142" t="s">
        <v>2074</v>
      </c>
      <c r="D6" s="2790"/>
      <c r="E6" s="2609">
        <f ca="1">SUMIF(INDIRECT("'"&amp;A6&amp;"'"&amp;"!C:C"),"建筑面积",INDIRECT("'"&amp;A6&amp;"'"&amp;"!D:D"))</f>
        <v>2229.4899999999998</v>
      </c>
      <c r="F6" s="2790"/>
      <c r="G6" s="2790"/>
      <c r="H6" s="2790"/>
      <c r="I6" s="2790"/>
      <c r="J6" s="2790"/>
      <c r="K6" s="2790"/>
      <c r="L6" s="2790"/>
      <c r="M6" s="2790"/>
      <c r="N6" s="2790"/>
      <c r="O6" s="2790"/>
      <c r="P6" s="2790"/>
    </row>
    <row r="7" spans="1:16" ht="15.6">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6">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6">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6">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6">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6">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6">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F20" sqref="F20"/>
    </sheetView>
  </sheetViews>
  <sheetFormatPr defaultColWidth="8.21875" defaultRowHeight="19.5" customHeight="1"/>
  <cols>
    <col min="1" max="13" width="15.21875" style="3071" customWidth="1"/>
    <col min="14" max="14" width="10" style="3071" customWidth="1"/>
    <col min="15" max="16" width="8.21875" style="3071"/>
    <col min="17" max="17" width="34.109375" style="3071" customWidth="1"/>
    <col min="18" max="18" width="8.21875" style="3071" customWidth="1"/>
    <col min="19" max="19" width="8.21875" style="3071"/>
    <col min="20" max="20" width="11.6640625" style="3071" customWidth="1"/>
    <col min="21" max="16384" width="8.21875" style="3071"/>
  </cols>
  <sheetData>
    <row r="1" spans="1:13" ht="19.5" customHeight="1" thickBot="1">
      <c r="A1" s="3068" t="s">
        <v>2597</v>
      </c>
      <c r="B1" s="3069" t="s">
        <v>2598</v>
      </c>
      <c r="C1" s="3069" t="s">
        <v>2599</v>
      </c>
      <c r="D1" s="3069" t="s">
        <v>2600</v>
      </c>
      <c r="E1" s="3069" t="s">
        <v>2601</v>
      </c>
      <c r="F1" s="3069" t="s">
        <v>2602</v>
      </c>
      <c r="G1" s="3069" t="s">
        <v>2603</v>
      </c>
      <c r="H1" s="3069" t="s">
        <v>2604</v>
      </c>
      <c r="I1" s="3069" t="s">
        <v>2605</v>
      </c>
      <c r="J1" s="3069" t="s">
        <v>2606</v>
      </c>
      <c r="K1" s="3069" t="s">
        <v>2607</v>
      </c>
      <c r="L1" s="3069" t="s">
        <v>2608</v>
      </c>
      <c r="M1" s="3070" t="s">
        <v>2609</v>
      </c>
    </row>
    <row r="2" spans="1:13" ht="19.5" customHeight="1">
      <c r="A2" s="3072" t="s">
        <v>2610</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2611</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2612</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2613</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2614</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2615</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2616</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2617</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2624</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2626</v>
      </c>
      <c r="B18" s="3094"/>
      <c r="C18" s="3095"/>
      <c r="D18" s="3095"/>
      <c r="E18" s="3094"/>
      <c r="F18" s="3095"/>
      <c r="G18" s="3095"/>
    </row>
    <row r="19" spans="1:13" ht="19.5" customHeight="1" thickBot="1">
      <c r="A19" s="3092" t="s">
        <v>2627</v>
      </c>
      <c r="B19" s="3097" t="s">
        <v>2628</v>
      </c>
      <c r="C19" s="3097" t="s">
        <v>2629</v>
      </c>
      <c r="D19" s="3098"/>
      <c r="E19" s="3092" t="s">
        <v>2630</v>
      </c>
      <c r="F19" s="3099"/>
      <c r="G19" s="3099"/>
    </row>
    <row r="20" spans="1:13" ht="19.5" customHeight="1">
      <c r="A20" s="3776" t="s">
        <v>2610</v>
      </c>
      <c r="B20" s="3771" t="s">
        <v>2631</v>
      </c>
      <c r="C20" s="3100" t="s">
        <v>2442</v>
      </c>
      <c r="D20" s="3101"/>
      <c r="E20" s="3102">
        <v>1</v>
      </c>
      <c r="F20" s="3103" t="s">
        <v>2443</v>
      </c>
      <c r="G20" s="3103"/>
    </row>
    <row r="21" spans="1:13" ht="19.5" customHeight="1">
      <c r="A21" s="3777"/>
      <c r="B21" s="3770"/>
      <c r="C21" s="3104" t="s">
        <v>2444</v>
      </c>
      <c r="D21" s="3105"/>
      <c r="E21" s="3106">
        <v>1</v>
      </c>
      <c r="F21" s="3103" t="s">
        <v>2445</v>
      </c>
      <c r="G21" s="3103"/>
    </row>
    <row r="22" spans="1:13" ht="19.5" customHeight="1">
      <c r="A22" s="3777"/>
      <c r="B22" s="3770"/>
      <c r="C22" s="3104" t="s">
        <v>2446</v>
      </c>
      <c r="D22" s="3105"/>
      <c r="E22" s="3106">
        <v>0.9</v>
      </c>
      <c r="F22" s="3103" t="s">
        <v>2447</v>
      </c>
      <c r="G22" s="3103"/>
    </row>
    <row r="23" spans="1:13" ht="19.5" customHeight="1">
      <c r="A23" s="3777"/>
      <c r="B23" s="3770"/>
      <c r="C23" s="3104" t="s">
        <v>2448</v>
      </c>
      <c r="D23" s="3105"/>
      <c r="E23" s="3106">
        <v>0.9</v>
      </c>
      <c r="F23" s="3103" t="s">
        <v>2449</v>
      </c>
      <c r="G23" s="3103"/>
    </row>
    <row r="24" spans="1:13" ht="19.5" customHeight="1">
      <c r="A24" s="3777"/>
      <c r="B24" s="3770"/>
      <c r="C24" s="3104" t="s">
        <v>2450</v>
      </c>
      <c r="D24" s="3105"/>
      <c r="E24" s="3106">
        <v>0.8</v>
      </c>
      <c r="F24" s="3103" t="s">
        <v>2451</v>
      </c>
      <c r="G24" s="3103"/>
    </row>
    <row r="25" spans="1:13" ht="19.5" customHeight="1" thickBot="1">
      <c r="A25" s="3778"/>
      <c r="B25" s="3772"/>
      <c r="C25" s="3107" t="s">
        <v>2452</v>
      </c>
      <c r="D25" s="3108"/>
      <c r="E25" s="3109">
        <v>0.8</v>
      </c>
      <c r="F25" s="3103" t="s">
        <v>2453</v>
      </c>
      <c r="G25" s="3103"/>
    </row>
    <row r="26" spans="1:13" ht="19.5" customHeight="1" thickBot="1">
      <c r="A26" s="3110" t="s">
        <v>2632</v>
      </c>
      <c r="B26" s="3111" t="s">
        <v>2631</v>
      </c>
      <c r="C26" s="3112" t="s">
        <v>2633</v>
      </c>
      <c r="D26" s="3113"/>
      <c r="E26" s="3114">
        <v>1</v>
      </c>
      <c r="F26" s="3103" t="s">
        <v>2454</v>
      </c>
      <c r="G26" s="3103"/>
    </row>
    <row r="27" spans="1:13" ht="19.5" customHeight="1">
      <c r="A27" s="3773" t="s">
        <v>2634</v>
      </c>
      <c r="B27" s="3771" t="s">
        <v>2615</v>
      </c>
      <c r="C27" s="3100" t="s">
        <v>2455</v>
      </c>
      <c r="D27" s="3101"/>
      <c r="E27" s="3102">
        <v>1</v>
      </c>
      <c r="F27" s="3103" t="s">
        <v>2456</v>
      </c>
      <c r="G27" s="3103"/>
    </row>
    <row r="28" spans="1:13" ht="19.5" customHeight="1">
      <c r="A28" s="3774"/>
      <c r="B28" s="3770"/>
      <c r="C28" s="3104" t="s">
        <v>2457</v>
      </c>
      <c r="D28" s="3105"/>
      <c r="E28" s="3106">
        <v>1</v>
      </c>
      <c r="F28" s="3103" t="s">
        <v>2458</v>
      </c>
      <c r="G28" s="3103"/>
    </row>
    <row r="29" spans="1:13" ht="19.5" customHeight="1">
      <c r="A29" s="3774"/>
      <c r="B29" s="3770"/>
      <c r="C29" s="3104" t="s">
        <v>2459</v>
      </c>
      <c r="D29" s="3105"/>
      <c r="E29" s="3106">
        <v>0.8</v>
      </c>
      <c r="F29" s="3103" t="s">
        <v>2460</v>
      </c>
      <c r="G29" s="3103"/>
    </row>
    <row r="30" spans="1:13" ht="19.5" customHeight="1">
      <c r="A30" s="3774"/>
      <c r="B30" s="3770"/>
      <c r="C30" s="3104" t="s">
        <v>2461</v>
      </c>
      <c r="D30" s="3105"/>
      <c r="E30" s="3106">
        <v>0.8</v>
      </c>
      <c r="F30" s="3103" t="s">
        <v>2462</v>
      </c>
      <c r="G30" s="3103"/>
    </row>
    <row r="31" spans="1:13" ht="19.5" customHeight="1">
      <c r="A31" s="3774"/>
      <c r="B31" s="3770"/>
      <c r="C31" s="3104" t="s">
        <v>2463</v>
      </c>
      <c r="D31" s="3105"/>
      <c r="E31" s="3106">
        <v>0.8</v>
      </c>
      <c r="F31" s="3103" t="s">
        <v>2464</v>
      </c>
      <c r="G31" s="3103"/>
    </row>
    <row r="32" spans="1:13" ht="19.5" customHeight="1">
      <c r="A32" s="3774"/>
      <c r="B32" s="3770"/>
      <c r="C32" s="3104" t="s">
        <v>2465</v>
      </c>
      <c r="D32" s="3105"/>
      <c r="E32" s="3106">
        <v>0.7</v>
      </c>
      <c r="F32" s="3103" t="s">
        <v>2466</v>
      </c>
      <c r="G32" s="3103"/>
    </row>
    <row r="33" spans="1:7" ht="19.5" customHeight="1">
      <c r="A33" s="3774"/>
      <c r="B33" s="3770"/>
      <c r="C33" s="3104" t="s">
        <v>2467</v>
      </c>
      <c r="D33" s="3105"/>
      <c r="E33" s="3106">
        <v>0.8</v>
      </c>
      <c r="F33" s="3103" t="s">
        <v>2468</v>
      </c>
      <c r="G33" s="3103"/>
    </row>
    <row r="34" spans="1:7" ht="19.5" customHeight="1">
      <c r="A34" s="3774"/>
      <c r="B34" s="3770"/>
      <c r="C34" s="3104" t="s">
        <v>2469</v>
      </c>
      <c r="D34" s="3105"/>
      <c r="E34" s="3106">
        <v>0.6</v>
      </c>
      <c r="F34" s="3103" t="s">
        <v>2470</v>
      </c>
      <c r="G34" s="3103"/>
    </row>
    <row r="35" spans="1:7" ht="19.5" customHeight="1">
      <c r="A35" s="3774"/>
      <c r="B35" s="3770"/>
      <c r="C35" s="3104" t="s">
        <v>2471</v>
      </c>
      <c r="D35" s="3105"/>
      <c r="E35" s="3106">
        <v>0.2</v>
      </c>
      <c r="F35" s="3103" t="s">
        <v>2472</v>
      </c>
      <c r="G35" s="3103"/>
    </row>
    <row r="36" spans="1:7" ht="19.5" customHeight="1">
      <c r="A36" s="3774"/>
      <c r="B36" s="3770"/>
      <c r="C36" s="3104" t="s">
        <v>2473</v>
      </c>
      <c r="D36" s="3105"/>
      <c r="E36" s="3106">
        <v>0.2</v>
      </c>
      <c r="F36" s="3103" t="s">
        <v>2474</v>
      </c>
      <c r="G36" s="3103"/>
    </row>
    <row r="37" spans="1:7" ht="19.5" customHeight="1">
      <c r="A37" s="3774"/>
      <c r="B37" s="3768" t="s">
        <v>2635</v>
      </c>
      <c r="C37" s="3104" t="s">
        <v>2475</v>
      </c>
      <c r="D37" s="3105"/>
      <c r="E37" s="3106">
        <v>0.6</v>
      </c>
      <c r="F37" s="3103" t="s">
        <v>2476</v>
      </c>
      <c r="G37" s="3103"/>
    </row>
    <row r="38" spans="1:7" ht="19.5" customHeight="1">
      <c r="A38" s="3774"/>
      <c r="B38" s="3770"/>
      <c r="C38" s="3104" t="s">
        <v>2477</v>
      </c>
      <c r="D38" s="3105"/>
      <c r="E38" s="3106">
        <v>0.6</v>
      </c>
      <c r="F38" s="3103" t="s">
        <v>2478</v>
      </c>
      <c r="G38" s="3103"/>
    </row>
    <row r="39" spans="1:7" ht="19.5" customHeight="1" thickBot="1">
      <c r="A39" s="3775"/>
      <c r="B39" s="3772"/>
      <c r="C39" s="3107" t="s">
        <v>2479</v>
      </c>
      <c r="D39" s="3108"/>
      <c r="E39" s="3109">
        <v>0.6</v>
      </c>
      <c r="F39" s="3103" t="s">
        <v>2480</v>
      </c>
      <c r="G39" s="3103"/>
    </row>
    <row r="40" spans="1:7" ht="19.5" customHeight="1" thickBot="1">
      <c r="A40" s="3110" t="s">
        <v>2612</v>
      </c>
      <c r="B40" s="3111" t="s">
        <v>2612</v>
      </c>
      <c r="C40" s="3112" t="s">
        <v>2636</v>
      </c>
      <c r="D40" s="3113"/>
      <c r="E40" s="3114">
        <v>1</v>
      </c>
      <c r="F40" s="3103" t="s">
        <v>2481</v>
      </c>
      <c r="G40" s="3103"/>
    </row>
    <row r="41" spans="1:7" ht="19.5" customHeight="1">
      <c r="A41" s="3776" t="s">
        <v>2613</v>
      </c>
      <c r="B41" s="3771" t="s">
        <v>2637</v>
      </c>
      <c r="C41" s="3100" t="s">
        <v>2482</v>
      </c>
      <c r="D41" s="3101"/>
      <c r="E41" s="3102">
        <v>1</v>
      </c>
      <c r="F41" s="3103" t="s">
        <v>2483</v>
      </c>
      <c r="G41" s="3103"/>
    </row>
    <row r="42" spans="1:7" ht="19.5" customHeight="1">
      <c r="A42" s="3777"/>
      <c r="B42" s="3770"/>
      <c r="C42" s="3104" t="s">
        <v>2484</v>
      </c>
      <c r="D42" s="3105"/>
      <c r="E42" s="3106">
        <v>1</v>
      </c>
      <c r="F42" s="3103" t="s">
        <v>2485</v>
      </c>
      <c r="G42" s="3103"/>
    </row>
    <row r="43" spans="1:7" ht="19.5" customHeight="1">
      <c r="A43" s="3777"/>
      <c r="B43" s="3769"/>
      <c r="C43" s="3104" t="s">
        <v>2486</v>
      </c>
      <c r="D43" s="3105"/>
      <c r="E43" s="3106">
        <v>1.5</v>
      </c>
      <c r="F43" s="3103" t="s">
        <v>2487</v>
      </c>
      <c r="G43" s="3103"/>
    </row>
    <row r="44" spans="1:7" ht="19.5" customHeight="1">
      <c r="A44" s="3777"/>
      <c r="B44" s="3115" t="s">
        <v>2638</v>
      </c>
      <c r="C44" s="3104" t="s">
        <v>2639</v>
      </c>
      <c r="D44" s="3105"/>
      <c r="E44" s="3106">
        <v>2</v>
      </c>
      <c r="F44" s="3103" t="s">
        <v>2488</v>
      </c>
      <c r="G44" s="3103"/>
    </row>
    <row r="45" spans="1:7" ht="19.5" customHeight="1">
      <c r="A45" s="3777"/>
      <c r="B45" s="3768" t="s">
        <v>2640</v>
      </c>
      <c r="C45" s="3104" t="s">
        <v>2489</v>
      </c>
      <c r="D45" s="3105"/>
      <c r="E45" s="3106">
        <v>1</v>
      </c>
      <c r="F45" s="3103" t="s">
        <v>2490</v>
      </c>
      <c r="G45" s="3103"/>
    </row>
    <row r="46" spans="1:7" ht="19.5" customHeight="1">
      <c r="A46" s="3777"/>
      <c r="B46" s="3770"/>
      <c r="C46" s="3104" t="s">
        <v>2491</v>
      </c>
      <c r="D46" s="3105"/>
      <c r="E46" s="3106">
        <v>1</v>
      </c>
      <c r="F46" s="3103" t="s">
        <v>2492</v>
      </c>
      <c r="G46" s="3103"/>
    </row>
    <row r="47" spans="1:7" ht="19.5" customHeight="1">
      <c r="A47" s="3777"/>
      <c r="B47" s="3770"/>
      <c r="C47" s="3104" t="s">
        <v>2493</v>
      </c>
      <c r="D47" s="3105"/>
      <c r="E47" s="3106">
        <v>1</v>
      </c>
      <c r="F47" s="3103" t="s">
        <v>2494</v>
      </c>
      <c r="G47" s="3103"/>
    </row>
    <row r="48" spans="1:7" ht="19.5" customHeight="1">
      <c r="A48" s="3777"/>
      <c r="B48" s="3770"/>
      <c r="C48" s="3104" t="s">
        <v>2495</v>
      </c>
      <c r="D48" s="3105"/>
      <c r="E48" s="3106">
        <v>1</v>
      </c>
      <c r="F48" s="3103" t="s">
        <v>2496</v>
      </c>
      <c r="G48" s="3103"/>
    </row>
    <row r="49" spans="1:7" ht="19.5" customHeight="1">
      <c r="A49" s="3777"/>
      <c r="B49" s="3770"/>
      <c r="C49" s="3104" t="s">
        <v>2497</v>
      </c>
      <c r="D49" s="3105"/>
      <c r="E49" s="3106">
        <v>1</v>
      </c>
      <c r="F49" s="3103" t="s">
        <v>2498</v>
      </c>
      <c r="G49" s="3103"/>
    </row>
    <row r="50" spans="1:7" ht="19.5" customHeight="1">
      <c r="A50" s="3777"/>
      <c r="B50" s="3770"/>
      <c r="C50" s="3104" t="s">
        <v>2499</v>
      </c>
      <c r="D50" s="3105"/>
      <c r="E50" s="3106">
        <v>1</v>
      </c>
      <c r="F50" s="3103" t="s">
        <v>2500</v>
      </c>
      <c r="G50" s="3103"/>
    </row>
    <row r="51" spans="1:7" ht="19.5" customHeight="1" thickBot="1">
      <c r="A51" s="3778"/>
      <c r="B51" s="3772"/>
      <c r="C51" s="3107" t="s">
        <v>2501</v>
      </c>
      <c r="D51" s="3108"/>
      <c r="E51" s="3109">
        <v>1</v>
      </c>
      <c r="F51" s="3103" t="s">
        <v>2502</v>
      </c>
      <c r="G51" s="3103"/>
    </row>
    <row r="52" spans="1:7" ht="19.5" customHeight="1">
      <c r="A52" s="3116"/>
      <c r="B52" s="3116"/>
      <c r="C52" s="3116"/>
      <c r="D52" s="3116"/>
      <c r="E52" s="3116"/>
      <c r="F52" s="3116"/>
      <c r="G52" s="3116"/>
    </row>
    <row r="54" spans="1:7" ht="19.5" customHeight="1">
      <c r="A54" s="3117"/>
      <c r="B54" s="3089" t="s">
        <v>2641</v>
      </c>
      <c r="C54" s="3089" t="s">
        <v>2641</v>
      </c>
      <c r="D54" s="3089" t="s">
        <v>2641</v>
      </c>
      <c r="E54" s="3092" t="s">
        <v>2641</v>
      </c>
      <c r="F54" s="3092" t="s">
        <v>2642</v>
      </c>
      <c r="G54" s="3092" t="s">
        <v>2643</v>
      </c>
    </row>
    <row r="55" spans="1:7" ht="19.5" customHeight="1">
      <c r="A55" s="3118"/>
      <c r="B55" s="3092" t="s">
        <v>2610</v>
      </c>
      <c r="C55" s="3092" t="s">
        <v>2610</v>
      </c>
      <c r="D55" s="3092" t="s">
        <v>2610</v>
      </c>
      <c r="E55" s="3089" t="s">
        <v>2611</v>
      </c>
      <c r="F55" s="3089" t="s">
        <v>2613</v>
      </c>
      <c r="G55" s="3089" t="s">
        <v>2644</v>
      </c>
    </row>
    <row r="56" spans="1:7" ht="19.5" customHeight="1">
      <c r="A56" s="3119"/>
      <c r="B56" s="3089">
        <v>1</v>
      </c>
      <c r="C56" s="3089">
        <v>2</v>
      </c>
      <c r="D56" s="3089">
        <v>3</v>
      </c>
      <c r="E56" s="3120" t="s">
        <v>2645</v>
      </c>
      <c r="F56" s="3120" t="s">
        <v>2645</v>
      </c>
      <c r="G56" s="3120" t="s">
        <v>2645</v>
      </c>
    </row>
    <row r="57" spans="1:7" ht="19.5" customHeight="1">
      <c r="A57" s="3121" t="s">
        <v>2598</v>
      </c>
      <c r="B57" s="3089">
        <v>0.7</v>
      </c>
      <c r="C57" s="3089">
        <v>0.4</v>
      </c>
      <c r="D57" s="3089">
        <v>0.3</v>
      </c>
      <c r="E57" s="3120">
        <v>0.3</v>
      </c>
      <c r="F57" s="3089">
        <v>0.3</v>
      </c>
      <c r="G57" s="3089">
        <v>0.2</v>
      </c>
    </row>
    <row r="58" spans="1:7" ht="19.5" customHeight="1">
      <c r="A58" s="3121" t="s">
        <v>2599</v>
      </c>
      <c r="B58" s="3089">
        <v>0.7</v>
      </c>
      <c r="C58" s="3089">
        <v>0.4</v>
      </c>
      <c r="D58" s="3089">
        <v>0.3</v>
      </c>
      <c r="E58" s="3089">
        <v>0.3</v>
      </c>
      <c r="F58" s="3089">
        <v>0.3</v>
      </c>
      <c r="G58" s="3089">
        <v>0.2</v>
      </c>
    </row>
    <row r="59" spans="1:7" ht="19.5" customHeight="1">
      <c r="A59" s="3121" t="s">
        <v>2600</v>
      </c>
      <c r="B59" s="3089">
        <v>0.6</v>
      </c>
      <c r="C59" s="3089">
        <v>0.3</v>
      </c>
      <c r="D59" s="3089">
        <v>0.25</v>
      </c>
      <c r="E59" s="3089">
        <v>0.25</v>
      </c>
      <c r="F59" s="3089">
        <v>0.25</v>
      </c>
      <c r="G59" s="3089">
        <v>0.15</v>
      </c>
    </row>
    <row r="60" spans="1:7" ht="19.5" customHeight="1">
      <c r="A60" s="3121" t="s">
        <v>2601</v>
      </c>
      <c r="B60" s="3089">
        <v>0.6</v>
      </c>
      <c r="C60" s="3089">
        <v>0.3</v>
      </c>
      <c r="D60" s="3089">
        <v>0.25</v>
      </c>
      <c r="E60" s="3089">
        <v>0.25</v>
      </c>
      <c r="F60" s="3089">
        <v>0.25</v>
      </c>
      <c r="G60" s="3089">
        <v>0.15</v>
      </c>
    </row>
    <row r="61" spans="1:7" ht="19.5" customHeight="1">
      <c r="A61" s="3121" t="s">
        <v>2602</v>
      </c>
      <c r="B61" s="3089">
        <v>0.6</v>
      </c>
      <c r="C61" s="3089">
        <v>0.3</v>
      </c>
      <c r="D61" s="3089">
        <v>0.25</v>
      </c>
      <c r="E61" s="3089">
        <v>0.25</v>
      </c>
      <c r="F61" s="3089">
        <v>0.25</v>
      </c>
      <c r="G61" s="3089">
        <v>0.15</v>
      </c>
    </row>
    <row r="62" spans="1:7" ht="19.5" customHeight="1">
      <c r="A62" s="3121" t="s">
        <v>2603</v>
      </c>
      <c r="B62" s="3089">
        <v>0.6</v>
      </c>
      <c r="C62" s="3089">
        <v>0.3</v>
      </c>
      <c r="D62" s="3089">
        <v>0.25</v>
      </c>
      <c r="E62" s="3089">
        <v>0.25</v>
      </c>
      <c r="F62" s="3089">
        <v>0.25</v>
      </c>
      <c r="G62" s="3089">
        <v>0.15</v>
      </c>
    </row>
    <row r="63" spans="1:7" ht="19.5" customHeight="1">
      <c r="A63" s="3121" t="s">
        <v>2604</v>
      </c>
      <c r="B63" s="3089">
        <v>0.6</v>
      </c>
      <c r="C63" s="3089">
        <v>0.3</v>
      </c>
      <c r="D63" s="3089">
        <v>0.25</v>
      </c>
      <c r="E63" s="3089">
        <v>0.25</v>
      </c>
      <c r="F63" s="3089">
        <v>0.25</v>
      </c>
      <c r="G63" s="3089">
        <v>0.15</v>
      </c>
    </row>
    <row r="64" spans="1:7" ht="19.5" customHeight="1">
      <c r="A64" s="3121" t="s">
        <v>2605</v>
      </c>
      <c r="B64" s="3089">
        <v>0.5</v>
      </c>
      <c r="C64" s="3089">
        <v>0.2</v>
      </c>
      <c r="D64" s="3089">
        <v>0.2</v>
      </c>
      <c r="E64" s="3089">
        <v>0.2</v>
      </c>
      <c r="F64" s="3089">
        <v>0.2</v>
      </c>
      <c r="G64" s="3089">
        <v>0.1</v>
      </c>
    </row>
    <row r="65" spans="1:7" ht="19.5" customHeight="1">
      <c r="A65" s="3121" t="s">
        <v>2606</v>
      </c>
      <c r="B65" s="3089">
        <v>0.5</v>
      </c>
      <c r="C65" s="3089">
        <v>0.2</v>
      </c>
      <c r="D65" s="3089">
        <v>0.2</v>
      </c>
      <c r="E65" s="3089">
        <v>0.2</v>
      </c>
      <c r="F65" s="3089">
        <v>0.2</v>
      </c>
      <c r="G65" s="3089">
        <v>0.1</v>
      </c>
    </row>
    <row r="66" spans="1:7" ht="19.5" customHeight="1">
      <c r="A66" s="3121" t="s">
        <v>2607</v>
      </c>
      <c r="B66" s="3089">
        <v>0.5</v>
      </c>
      <c r="C66" s="3089">
        <v>0.2</v>
      </c>
      <c r="D66" s="3089">
        <v>0.2</v>
      </c>
      <c r="E66" s="3089">
        <v>0.2</v>
      </c>
      <c r="F66" s="3089">
        <v>0.2</v>
      </c>
      <c r="G66" s="3089">
        <v>0.1</v>
      </c>
    </row>
    <row r="67" spans="1:7" ht="19.5" customHeight="1">
      <c r="A67" s="3121" t="s">
        <v>2608</v>
      </c>
      <c r="B67" s="3089">
        <v>0.5</v>
      </c>
      <c r="C67" s="3089">
        <v>0.2</v>
      </c>
      <c r="D67" s="3089">
        <v>0.2</v>
      </c>
      <c r="E67" s="3089">
        <v>0.2</v>
      </c>
      <c r="F67" s="3089">
        <v>0.2</v>
      </c>
      <c r="G67" s="3089">
        <v>0.1</v>
      </c>
    </row>
    <row r="68" spans="1:7" ht="19.5" customHeight="1">
      <c r="A68" s="3121" t="s">
        <v>2609</v>
      </c>
      <c r="B68" s="3089">
        <v>0.5</v>
      </c>
      <c r="C68" s="3089">
        <v>0.2</v>
      </c>
      <c r="D68" s="3089">
        <v>0.2</v>
      </c>
      <c r="E68" s="3089">
        <v>0.2</v>
      </c>
      <c r="F68" s="3089">
        <v>0.2</v>
      </c>
      <c r="G68" s="3089">
        <v>0.1</v>
      </c>
    </row>
    <row r="70" spans="1:7" ht="19.5" customHeight="1">
      <c r="A70" s="3122"/>
      <c r="B70" s="3123"/>
      <c r="C70" s="3123"/>
      <c r="D70" s="3123" t="s">
        <v>2646</v>
      </c>
      <c r="E70" s="3123"/>
      <c r="F70" s="3123"/>
    </row>
    <row r="71" spans="1:7" ht="19.5" customHeight="1">
      <c r="A71" s="3115" t="s">
        <v>2647</v>
      </c>
      <c r="B71" s="3115" t="s">
        <v>2648</v>
      </c>
      <c r="C71" s="3115" t="s">
        <v>2649</v>
      </c>
      <c r="D71" s="3115" t="s">
        <v>2650</v>
      </c>
      <c r="E71" s="3115" t="s">
        <v>2651</v>
      </c>
      <c r="F71" s="3115" t="s">
        <v>2652</v>
      </c>
    </row>
    <row r="72" spans="1:7" ht="14.4">
      <c r="A72" s="3115"/>
      <c r="B72" s="3115"/>
      <c r="C72" s="3115" t="s">
        <v>2653</v>
      </c>
      <c r="D72" s="3115"/>
      <c r="E72" s="3115" t="s">
        <v>2624</v>
      </c>
      <c r="F72" s="3115" t="s">
        <v>2624</v>
      </c>
    </row>
    <row r="73" spans="1:7" ht="14.4">
      <c r="A73" s="3115">
        <v>1</v>
      </c>
      <c r="B73" s="3768" t="s">
        <v>2654</v>
      </c>
      <c r="C73" s="3089" t="s">
        <v>2655</v>
      </c>
      <c r="D73" s="3089" t="s">
        <v>2656</v>
      </c>
      <c r="E73" s="3115">
        <v>0.2</v>
      </c>
      <c r="F73" s="3115">
        <v>25</v>
      </c>
    </row>
    <row r="74" spans="1:7" ht="24">
      <c r="A74" s="3115">
        <v>2</v>
      </c>
      <c r="B74" s="3770"/>
      <c r="C74" s="3089" t="s">
        <v>2657</v>
      </c>
      <c r="D74" s="3089" t="s">
        <v>2658</v>
      </c>
      <c r="E74" s="3115">
        <v>0.2</v>
      </c>
      <c r="F74" s="3115">
        <v>25</v>
      </c>
    </row>
    <row r="75" spans="1:7" ht="24">
      <c r="A75" s="3115">
        <v>3</v>
      </c>
      <c r="B75" s="3770"/>
      <c r="C75" s="3089" t="s">
        <v>2659</v>
      </c>
      <c r="D75" s="3089" t="s">
        <v>2660</v>
      </c>
      <c r="E75" s="3115">
        <v>0.2</v>
      </c>
      <c r="F75" s="3115">
        <v>25</v>
      </c>
    </row>
    <row r="76" spans="1:7" ht="14.4">
      <c r="A76" s="3115">
        <v>4</v>
      </c>
      <c r="B76" s="3770"/>
      <c r="C76" s="3089" t="s">
        <v>2661</v>
      </c>
      <c r="D76" s="3089" t="s">
        <v>2662</v>
      </c>
      <c r="E76" s="3115">
        <v>0.15</v>
      </c>
      <c r="F76" s="3115">
        <v>20</v>
      </c>
    </row>
    <row r="77" spans="1:7" ht="24">
      <c r="A77" s="3115">
        <v>5</v>
      </c>
      <c r="B77" s="3770"/>
      <c r="C77" s="3089" t="s">
        <v>2663</v>
      </c>
      <c r="D77" s="3089" t="s">
        <v>2664</v>
      </c>
      <c r="E77" s="3115">
        <v>0.15</v>
      </c>
      <c r="F77" s="3115">
        <v>20</v>
      </c>
    </row>
    <row r="78" spans="1:7" ht="24">
      <c r="A78" s="3115">
        <v>6</v>
      </c>
      <c r="B78" s="3770"/>
      <c r="C78" s="3089" t="s">
        <v>2665</v>
      </c>
      <c r="D78" s="3089" t="s">
        <v>2666</v>
      </c>
      <c r="E78" s="3115">
        <v>0.15</v>
      </c>
      <c r="F78" s="3115">
        <v>20</v>
      </c>
    </row>
    <row r="79" spans="1:7" ht="24">
      <c r="A79" s="3115">
        <v>7</v>
      </c>
      <c r="B79" s="3770"/>
      <c r="C79" s="3089" t="s">
        <v>2667</v>
      </c>
      <c r="D79" s="3089" t="s">
        <v>2668</v>
      </c>
      <c r="E79" s="3115">
        <v>0.15</v>
      </c>
      <c r="F79" s="3115">
        <v>20</v>
      </c>
    </row>
    <row r="80" spans="1:7" ht="24">
      <c r="A80" s="3115">
        <v>8</v>
      </c>
      <c r="B80" s="3770"/>
      <c r="C80" s="3089" t="s">
        <v>2669</v>
      </c>
      <c r="D80" s="3089" t="s">
        <v>2670</v>
      </c>
      <c r="E80" s="3115">
        <v>0.1</v>
      </c>
      <c r="F80" s="3115">
        <v>15</v>
      </c>
    </row>
    <row r="81" spans="1:6" ht="24">
      <c r="A81" s="3115">
        <v>9</v>
      </c>
      <c r="B81" s="3770"/>
      <c r="C81" s="3089" t="s">
        <v>2671</v>
      </c>
      <c r="D81" s="3089" t="s">
        <v>2672</v>
      </c>
      <c r="E81" s="3115">
        <v>0.1</v>
      </c>
      <c r="F81" s="3115">
        <v>15</v>
      </c>
    </row>
    <row r="82" spans="1:6" ht="24">
      <c r="A82" s="3115">
        <v>10</v>
      </c>
      <c r="B82" s="3770"/>
      <c r="C82" s="3089" t="s">
        <v>2673</v>
      </c>
      <c r="D82" s="3089" t="s">
        <v>2674</v>
      </c>
      <c r="E82" s="3115">
        <v>0.1</v>
      </c>
      <c r="F82" s="3115">
        <v>15</v>
      </c>
    </row>
    <row r="83" spans="1:6" ht="24">
      <c r="A83" s="3115">
        <v>11</v>
      </c>
      <c r="B83" s="3770"/>
      <c r="C83" s="3089" t="s">
        <v>2675</v>
      </c>
      <c r="D83" s="3089" t="s">
        <v>2676</v>
      </c>
      <c r="E83" s="3115">
        <v>0.1</v>
      </c>
      <c r="F83" s="3115">
        <v>15</v>
      </c>
    </row>
    <row r="84" spans="1:6" ht="24">
      <c r="A84" s="3115">
        <v>12</v>
      </c>
      <c r="B84" s="3770"/>
      <c r="C84" s="3089" t="s">
        <v>2677</v>
      </c>
      <c r="D84" s="3089" t="s">
        <v>2678</v>
      </c>
      <c r="E84" s="3115">
        <v>0.1</v>
      </c>
      <c r="F84" s="3115">
        <v>15</v>
      </c>
    </row>
    <row r="85" spans="1:6" ht="24">
      <c r="A85" s="3115">
        <v>13</v>
      </c>
      <c r="B85" s="3770"/>
      <c r="C85" s="3089" t="s">
        <v>2679</v>
      </c>
      <c r="D85" s="3089" t="s">
        <v>2680</v>
      </c>
      <c r="E85" s="3115">
        <v>0.1</v>
      </c>
      <c r="F85" s="3115">
        <v>15</v>
      </c>
    </row>
    <row r="86" spans="1:6" ht="24">
      <c r="A86" s="3115">
        <v>14</v>
      </c>
      <c r="B86" s="3770"/>
      <c r="C86" s="3089" t="s">
        <v>2681</v>
      </c>
      <c r="D86" s="3089" t="s">
        <v>2682</v>
      </c>
      <c r="E86" s="3115">
        <v>0.1</v>
      </c>
      <c r="F86" s="3115">
        <v>15</v>
      </c>
    </row>
    <row r="87" spans="1:6" ht="24">
      <c r="A87" s="3115">
        <v>15</v>
      </c>
      <c r="B87" s="3770"/>
      <c r="C87" s="3089" t="s">
        <v>2683</v>
      </c>
      <c r="D87" s="3089" t="s">
        <v>2684</v>
      </c>
      <c r="E87" s="3115">
        <v>0.1</v>
      </c>
      <c r="F87" s="3115">
        <v>15</v>
      </c>
    </row>
    <row r="88" spans="1:6" ht="24">
      <c r="A88" s="3115">
        <v>16</v>
      </c>
      <c r="B88" s="3770"/>
      <c r="C88" s="3089" t="s">
        <v>2685</v>
      </c>
      <c r="D88" s="3089" t="s">
        <v>2686</v>
      </c>
      <c r="E88" s="3115">
        <v>0.1</v>
      </c>
      <c r="F88" s="3115">
        <v>15</v>
      </c>
    </row>
    <row r="89" spans="1:6" ht="24">
      <c r="A89" s="3115">
        <v>17</v>
      </c>
      <c r="B89" s="3769"/>
      <c r="C89" s="3089" t="s">
        <v>2687</v>
      </c>
      <c r="D89" s="3089" t="s">
        <v>2688</v>
      </c>
      <c r="E89" s="3115">
        <v>0.1</v>
      </c>
      <c r="F89" s="3115">
        <v>15</v>
      </c>
    </row>
    <row r="90" spans="1:6" ht="14.4">
      <c r="A90" s="3115">
        <v>18</v>
      </c>
      <c r="B90" s="3768" t="s">
        <v>2689</v>
      </c>
      <c r="C90" s="3089" t="s">
        <v>2690</v>
      </c>
      <c r="D90" s="3089" t="s">
        <v>2691</v>
      </c>
      <c r="E90" s="3115">
        <v>0.2</v>
      </c>
      <c r="F90" s="3115">
        <v>25</v>
      </c>
    </row>
    <row r="91" spans="1:6" ht="24">
      <c r="A91" s="3115">
        <v>19</v>
      </c>
      <c r="B91" s="3770"/>
      <c r="C91" s="3089" t="s">
        <v>2692</v>
      </c>
      <c r="D91" s="3089" t="s">
        <v>2693</v>
      </c>
      <c r="E91" s="3115">
        <v>0.2</v>
      </c>
      <c r="F91" s="3115">
        <v>25</v>
      </c>
    </row>
    <row r="92" spans="1:6" ht="14.4">
      <c r="A92" s="3115">
        <v>20</v>
      </c>
      <c r="B92" s="3770"/>
      <c r="C92" s="3089" t="s">
        <v>2694</v>
      </c>
      <c r="D92" s="3089" t="s">
        <v>2695</v>
      </c>
      <c r="E92" s="3115">
        <v>0.15</v>
      </c>
      <c r="F92" s="3115">
        <v>20</v>
      </c>
    </row>
    <row r="93" spans="1:6" ht="24">
      <c r="A93" s="3115">
        <v>21</v>
      </c>
      <c r="B93" s="3770"/>
      <c r="C93" s="3089" t="s">
        <v>2696</v>
      </c>
      <c r="D93" s="3089" t="s">
        <v>2697</v>
      </c>
      <c r="E93" s="3115">
        <v>0.15</v>
      </c>
      <c r="F93" s="3115">
        <v>20</v>
      </c>
    </row>
    <row r="94" spans="1:6" ht="24">
      <c r="A94" s="3115">
        <v>22</v>
      </c>
      <c r="B94" s="3770"/>
      <c r="C94" s="3089" t="s">
        <v>2698</v>
      </c>
      <c r="D94" s="3089" t="s">
        <v>2699</v>
      </c>
      <c r="E94" s="3115">
        <v>0.15</v>
      </c>
      <c r="F94" s="3115">
        <v>20</v>
      </c>
    </row>
    <row r="95" spans="1:6" ht="36">
      <c r="A95" s="3115">
        <v>23</v>
      </c>
      <c r="B95" s="3770"/>
      <c r="C95" s="3089" t="s">
        <v>2700</v>
      </c>
      <c r="D95" s="3089" t="s">
        <v>2701</v>
      </c>
      <c r="E95" s="3115">
        <v>0.15</v>
      </c>
      <c r="F95" s="3115">
        <v>20</v>
      </c>
    </row>
    <row r="96" spans="1:6" ht="24">
      <c r="A96" s="3115">
        <v>24</v>
      </c>
      <c r="B96" s="3770"/>
      <c r="C96" s="3089" t="s">
        <v>2702</v>
      </c>
      <c r="D96" s="3089" t="s">
        <v>2703</v>
      </c>
      <c r="E96" s="3115">
        <v>0.1</v>
      </c>
      <c r="F96" s="3115">
        <v>15</v>
      </c>
    </row>
    <row r="97" spans="1:6" ht="24">
      <c r="A97" s="3115">
        <v>25</v>
      </c>
      <c r="B97" s="3770"/>
      <c r="C97" s="3089" t="s">
        <v>2704</v>
      </c>
      <c r="D97" s="3089" t="s">
        <v>2705</v>
      </c>
      <c r="E97" s="3115">
        <v>0.1</v>
      </c>
      <c r="F97" s="3115">
        <v>15</v>
      </c>
    </row>
    <row r="98" spans="1:6" ht="24">
      <c r="A98" s="3115">
        <v>26</v>
      </c>
      <c r="B98" s="3770"/>
      <c r="C98" s="3089" t="s">
        <v>2706</v>
      </c>
      <c r="D98" s="3089" t="s">
        <v>2707</v>
      </c>
      <c r="E98" s="3115">
        <v>0.1</v>
      </c>
      <c r="F98" s="3115">
        <v>15</v>
      </c>
    </row>
    <row r="99" spans="1:6" ht="24">
      <c r="A99" s="3115">
        <v>27</v>
      </c>
      <c r="B99" s="3770"/>
      <c r="C99" s="3089" t="s">
        <v>2708</v>
      </c>
      <c r="D99" s="3089" t="s">
        <v>2709</v>
      </c>
      <c r="E99" s="3115">
        <v>0.1</v>
      </c>
      <c r="F99" s="3115">
        <v>15</v>
      </c>
    </row>
    <row r="100" spans="1:6" ht="24">
      <c r="A100" s="3115">
        <v>28</v>
      </c>
      <c r="B100" s="3770"/>
      <c r="C100" s="3089" t="s">
        <v>2710</v>
      </c>
      <c r="D100" s="3089" t="s">
        <v>2711</v>
      </c>
      <c r="E100" s="3115">
        <v>0.1</v>
      </c>
      <c r="F100" s="3115">
        <v>15</v>
      </c>
    </row>
    <row r="101" spans="1:6" ht="24">
      <c r="A101" s="3115">
        <v>29</v>
      </c>
      <c r="B101" s="3770"/>
      <c r="C101" s="3089" t="s">
        <v>2712</v>
      </c>
      <c r="D101" s="3089" t="s">
        <v>2713</v>
      </c>
      <c r="E101" s="3115">
        <v>0.1</v>
      </c>
      <c r="F101" s="3115">
        <v>15</v>
      </c>
    </row>
    <row r="102" spans="1:6" ht="24">
      <c r="A102" s="3115">
        <v>30</v>
      </c>
      <c r="B102" s="3770"/>
      <c r="C102" s="3089" t="s">
        <v>2714</v>
      </c>
      <c r="D102" s="3089" t="s">
        <v>2715</v>
      </c>
      <c r="E102" s="3115">
        <v>0.1</v>
      </c>
      <c r="F102" s="3115">
        <v>15</v>
      </c>
    </row>
    <row r="103" spans="1:6" ht="24">
      <c r="A103" s="3115">
        <v>31</v>
      </c>
      <c r="B103" s="3770"/>
      <c r="C103" s="3089" t="s">
        <v>2716</v>
      </c>
      <c r="D103" s="3089" t="s">
        <v>2717</v>
      </c>
      <c r="E103" s="3115">
        <v>0.1</v>
      </c>
      <c r="F103" s="3115">
        <v>15</v>
      </c>
    </row>
    <row r="104" spans="1:6" ht="24">
      <c r="A104" s="3115">
        <v>32</v>
      </c>
      <c r="B104" s="3770"/>
      <c r="C104" s="3089" t="s">
        <v>2718</v>
      </c>
      <c r="D104" s="3089" t="s">
        <v>2719</v>
      </c>
      <c r="E104" s="3115">
        <v>0.1</v>
      </c>
      <c r="F104" s="3115">
        <v>15</v>
      </c>
    </row>
    <row r="105" spans="1:6" ht="24">
      <c r="A105" s="3115">
        <v>33</v>
      </c>
      <c r="B105" s="3770"/>
      <c r="C105" s="3089" t="s">
        <v>2720</v>
      </c>
      <c r="D105" s="3089" t="s">
        <v>2721</v>
      </c>
      <c r="E105" s="3115">
        <v>0.1</v>
      </c>
      <c r="F105" s="3115">
        <v>15</v>
      </c>
    </row>
    <row r="106" spans="1:6" ht="24">
      <c r="A106" s="3115">
        <v>34</v>
      </c>
      <c r="B106" s="3769"/>
      <c r="C106" s="3089" t="s">
        <v>2722</v>
      </c>
      <c r="D106" s="3089" t="s">
        <v>2723</v>
      </c>
      <c r="E106" s="3115">
        <v>0.1</v>
      </c>
      <c r="F106" s="3115">
        <v>15</v>
      </c>
    </row>
    <row r="107" spans="1:6" ht="36">
      <c r="A107" s="3115">
        <v>35</v>
      </c>
      <c r="B107" s="3768" t="s">
        <v>2724</v>
      </c>
      <c r="C107" s="3115" t="s">
        <v>2725</v>
      </c>
      <c r="D107" s="3089" t="s">
        <v>2726</v>
      </c>
      <c r="E107" s="3115">
        <v>0.15</v>
      </c>
      <c r="F107" s="3115">
        <v>20</v>
      </c>
    </row>
    <row r="108" spans="1:6" ht="24">
      <c r="A108" s="3115">
        <v>36</v>
      </c>
      <c r="B108" s="3770"/>
      <c r="C108" s="3115" t="s">
        <v>2727</v>
      </c>
      <c r="D108" s="3089" t="s">
        <v>2728</v>
      </c>
      <c r="E108" s="3115">
        <v>0.15</v>
      </c>
      <c r="F108" s="3115">
        <v>20</v>
      </c>
    </row>
    <row r="109" spans="1:6" ht="24">
      <c r="A109" s="3115">
        <v>37</v>
      </c>
      <c r="B109" s="3770"/>
      <c r="C109" s="3115" t="s">
        <v>2729</v>
      </c>
      <c r="D109" s="3089" t="s">
        <v>2730</v>
      </c>
      <c r="E109" s="3115">
        <v>0.15</v>
      </c>
      <c r="F109" s="3115">
        <v>20</v>
      </c>
    </row>
    <row r="110" spans="1:6" ht="24">
      <c r="A110" s="3115">
        <v>38</v>
      </c>
      <c r="B110" s="3770"/>
      <c r="C110" s="3115" t="s">
        <v>2731</v>
      </c>
      <c r="D110" s="3089" t="s">
        <v>2732</v>
      </c>
      <c r="E110" s="3115">
        <v>0.1</v>
      </c>
      <c r="F110" s="3115">
        <v>15</v>
      </c>
    </row>
    <row r="111" spans="1:6" ht="24">
      <c r="A111" s="3115">
        <v>39</v>
      </c>
      <c r="B111" s="3770"/>
      <c r="C111" s="3115" t="s">
        <v>2733</v>
      </c>
      <c r="D111" s="3089" t="s">
        <v>2734</v>
      </c>
      <c r="E111" s="3115">
        <v>0.1</v>
      </c>
      <c r="F111" s="3115">
        <v>15</v>
      </c>
    </row>
    <row r="112" spans="1:6" ht="24">
      <c r="A112" s="3115">
        <v>40</v>
      </c>
      <c r="B112" s="3769"/>
      <c r="C112" s="3115" t="s">
        <v>2735</v>
      </c>
      <c r="D112" s="3089" t="s">
        <v>2736</v>
      </c>
      <c r="E112" s="3115">
        <v>0.1</v>
      </c>
      <c r="F112" s="3115">
        <v>15</v>
      </c>
    </row>
    <row r="113" spans="1:6" ht="24">
      <c r="A113" s="3115">
        <v>41</v>
      </c>
      <c r="B113" s="3767" t="s">
        <v>2737</v>
      </c>
      <c r="C113" s="3115" t="s">
        <v>2738</v>
      </c>
      <c r="D113" s="3089" t="s">
        <v>2739</v>
      </c>
      <c r="E113" s="3115">
        <v>0.1</v>
      </c>
      <c r="F113" s="3115">
        <v>15</v>
      </c>
    </row>
    <row r="114" spans="1:6" ht="24">
      <c r="A114" s="3115">
        <v>42</v>
      </c>
      <c r="B114" s="3767"/>
      <c r="C114" s="3115" t="s">
        <v>2740</v>
      </c>
      <c r="D114" s="3089" t="s">
        <v>2741</v>
      </c>
      <c r="E114" s="3115">
        <v>0.1</v>
      </c>
      <c r="F114" s="3115">
        <v>15</v>
      </c>
    </row>
    <row r="115" spans="1:6" ht="24">
      <c r="A115" s="3115">
        <v>43</v>
      </c>
      <c r="B115" s="3767"/>
      <c r="C115" s="3115" t="s">
        <v>2742</v>
      </c>
      <c r="D115" s="3089" t="s">
        <v>2743</v>
      </c>
      <c r="E115" s="3115">
        <v>0.1</v>
      </c>
      <c r="F115" s="3115">
        <v>15</v>
      </c>
    </row>
    <row r="116" spans="1:6" ht="24">
      <c r="A116" s="3115">
        <v>44</v>
      </c>
      <c r="B116" s="3768" t="s">
        <v>2744</v>
      </c>
      <c r="C116" s="3115" t="s">
        <v>2745</v>
      </c>
      <c r="D116" s="3089" t="s">
        <v>2746</v>
      </c>
      <c r="E116" s="3115">
        <v>0.1</v>
      </c>
      <c r="F116" s="3115">
        <v>15</v>
      </c>
    </row>
    <row r="117" spans="1:6" ht="24">
      <c r="A117" s="3115">
        <v>45</v>
      </c>
      <c r="B117" s="3769"/>
      <c r="C117" s="3089" t="s">
        <v>2747</v>
      </c>
      <c r="D117" s="3089" t="s">
        <v>2748</v>
      </c>
      <c r="E117" s="3115">
        <v>0.1</v>
      </c>
      <c r="F117" s="3115">
        <v>15</v>
      </c>
    </row>
    <row r="118" spans="1:6" ht="24">
      <c r="A118" s="3115">
        <v>46</v>
      </c>
      <c r="B118" s="3768" t="s">
        <v>2749</v>
      </c>
      <c r="C118" s="3115" t="s">
        <v>2750</v>
      </c>
      <c r="D118" s="3089" t="s">
        <v>2751</v>
      </c>
      <c r="E118" s="3115">
        <v>0.1</v>
      </c>
      <c r="F118" s="3115">
        <v>15</v>
      </c>
    </row>
    <row r="119" spans="1:6" ht="24">
      <c r="A119" s="3115">
        <v>47</v>
      </c>
      <c r="B119" s="3769"/>
      <c r="C119" s="3115" t="s">
        <v>2752</v>
      </c>
      <c r="D119" s="3089" t="s">
        <v>2753</v>
      </c>
      <c r="E119" s="3115">
        <v>0.1</v>
      </c>
      <c r="F119" s="3115">
        <v>15</v>
      </c>
    </row>
    <row r="120" spans="1:6" ht="24">
      <c r="A120" s="3115">
        <v>48</v>
      </c>
      <c r="B120" s="3768" t="s">
        <v>2754</v>
      </c>
      <c r="C120" s="3115" t="s">
        <v>2755</v>
      </c>
      <c r="D120" s="3089" t="s">
        <v>2756</v>
      </c>
      <c r="E120" s="3115">
        <v>0.1</v>
      </c>
      <c r="F120" s="3115">
        <v>15</v>
      </c>
    </row>
    <row r="121" spans="1:6" ht="24">
      <c r="A121" s="3115">
        <v>49</v>
      </c>
      <c r="B121" s="3769"/>
      <c r="C121" s="3115" t="s">
        <v>2757</v>
      </c>
      <c r="D121" s="3089" t="s">
        <v>2758</v>
      </c>
      <c r="E121" s="3115">
        <v>0.1</v>
      </c>
      <c r="F121" s="3115">
        <v>15</v>
      </c>
    </row>
    <row r="122" spans="1:6" ht="24">
      <c r="A122" s="3115">
        <v>50</v>
      </c>
      <c r="B122" s="3767" t="s">
        <v>2759</v>
      </c>
      <c r="C122" s="3115" t="s">
        <v>2760</v>
      </c>
      <c r="D122" s="3089" t="s">
        <v>2761</v>
      </c>
      <c r="E122" s="3115">
        <v>0.1</v>
      </c>
      <c r="F122" s="3115">
        <v>15</v>
      </c>
    </row>
    <row r="123" spans="1:6" ht="24">
      <c r="A123" s="3115">
        <v>51</v>
      </c>
      <c r="B123" s="3767"/>
      <c r="C123" s="3115" t="s">
        <v>2762</v>
      </c>
      <c r="D123" s="3089" t="s">
        <v>2763</v>
      </c>
      <c r="E123" s="3115">
        <v>0.1</v>
      </c>
      <c r="F123" s="3115">
        <v>15</v>
      </c>
    </row>
    <row r="124" spans="1:6" ht="24">
      <c r="A124" s="3115">
        <v>52</v>
      </c>
      <c r="B124" s="3767" t="s">
        <v>2764</v>
      </c>
      <c r="C124" s="3115" t="s">
        <v>2765</v>
      </c>
      <c r="D124" s="3089" t="s">
        <v>2766</v>
      </c>
      <c r="E124" s="3115">
        <v>0.1</v>
      </c>
      <c r="F124" s="3115">
        <v>15</v>
      </c>
    </row>
    <row r="125" spans="1:6" ht="24">
      <c r="A125" s="3115">
        <v>53</v>
      </c>
      <c r="B125" s="3767"/>
      <c r="C125" s="3115" t="s">
        <v>2767</v>
      </c>
      <c r="D125" s="3089" t="s">
        <v>2768</v>
      </c>
      <c r="E125" s="3115">
        <v>0.1</v>
      </c>
      <c r="F125" s="3115">
        <v>15</v>
      </c>
    </row>
    <row r="126" spans="1:6" ht="24">
      <c r="A126" s="3115">
        <v>54</v>
      </c>
      <c r="B126" s="3115" t="s">
        <v>2769</v>
      </c>
      <c r="C126" s="3115" t="s">
        <v>2770</v>
      </c>
      <c r="D126" s="3089" t="s">
        <v>2771</v>
      </c>
      <c r="E126" s="3115">
        <v>0.1</v>
      </c>
      <c r="F126" s="3115">
        <v>15</v>
      </c>
    </row>
    <row r="127" spans="1:6" ht="24">
      <c r="A127" s="3115">
        <v>55</v>
      </c>
      <c r="B127" s="3767" t="s">
        <v>2772</v>
      </c>
      <c r="C127" s="3115" t="s">
        <v>2773</v>
      </c>
      <c r="D127" s="3089" t="s">
        <v>2774</v>
      </c>
      <c r="E127" s="3115">
        <v>0.1</v>
      </c>
      <c r="F127" s="3115">
        <v>15</v>
      </c>
    </row>
    <row r="128" spans="1:6" ht="24">
      <c r="A128" s="3115">
        <v>56</v>
      </c>
      <c r="B128" s="3767"/>
      <c r="C128" s="3115" t="s">
        <v>2775</v>
      </c>
      <c r="D128" s="3089" t="s">
        <v>2776</v>
      </c>
      <c r="E128" s="3115">
        <v>0.1</v>
      </c>
      <c r="F128" s="3115">
        <v>15</v>
      </c>
    </row>
    <row r="129" spans="1:6" ht="24">
      <c r="A129" s="3115">
        <v>57</v>
      </c>
      <c r="B129" s="3767"/>
      <c r="C129" s="3115" t="s">
        <v>2777</v>
      </c>
      <c r="D129" s="3089" t="s">
        <v>2778</v>
      </c>
      <c r="E129" s="3115">
        <v>0.1</v>
      </c>
      <c r="F129" s="3115">
        <v>15</v>
      </c>
    </row>
    <row r="130" spans="1:6" ht="24">
      <c r="A130" s="3115">
        <v>58</v>
      </c>
      <c r="B130" s="3767" t="s">
        <v>2779</v>
      </c>
      <c r="C130" s="3115" t="s">
        <v>2780</v>
      </c>
      <c r="D130" s="3089" t="s">
        <v>2781</v>
      </c>
      <c r="E130" s="3115">
        <v>0.1</v>
      </c>
      <c r="F130" s="3115">
        <v>15</v>
      </c>
    </row>
    <row r="131" spans="1:6" ht="24">
      <c r="A131" s="3115">
        <v>59</v>
      </c>
      <c r="B131" s="3767"/>
      <c r="C131" s="3115" t="s">
        <v>2782</v>
      </c>
      <c r="D131" s="3089" t="s">
        <v>2783</v>
      </c>
      <c r="E131" s="3115">
        <v>0.1</v>
      </c>
      <c r="F131" s="3115">
        <v>15</v>
      </c>
    </row>
    <row r="132" spans="1:6" ht="24">
      <c r="A132" s="3115">
        <v>60</v>
      </c>
      <c r="B132" s="3768" t="s">
        <v>2784</v>
      </c>
      <c r="C132" s="3115" t="s">
        <v>2785</v>
      </c>
      <c r="D132" s="3089" t="s">
        <v>2786</v>
      </c>
      <c r="E132" s="3115">
        <v>0.1</v>
      </c>
      <c r="F132" s="3115">
        <v>15</v>
      </c>
    </row>
    <row r="133" spans="1:6" ht="24">
      <c r="A133" s="3115">
        <v>61</v>
      </c>
      <c r="B133" s="3769"/>
      <c r="C133" s="3115" t="s">
        <v>2787</v>
      </c>
      <c r="D133" s="3089" t="s">
        <v>2788</v>
      </c>
      <c r="E133" s="3115">
        <v>0.1</v>
      </c>
      <c r="F133" s="3115">
        <v>15</v>
      </c>
    </row>
    <row r="134" spans="1:6" ht="24">
      <c r="A134" s="3115">
        <v>62</v>
      </c>
      <c r="B134" s="3115" t="s">
        <v>2789</v>
      </c>
      <c r="C134" s="3115" t="s">
        <v>2790</v>
      </c>
      <c r="D134" s="3089" t="s">
        <v>2791</v>
      </c>
      <c r="E134" s="3115">
        <v>0.1</v>
      </c>
      <c r="F134" s="3115">
        <v>15</v>
      </c>
    </row>
    <row r="135" spans="1:6" ht="24">
      <c r="A135" s="3115">
        <v>63</v>
      </c>
      <c r="B135" s="3767" t="s">
        <v>2792</v>
      </c>
      <c r="C135" s="3115" t="s">
        <v>2793</v>
      </c>
      <c r="D135" s="3089" t="s">
        <v>2794</v>
      </c>
      <c r="E135" s="3115">
        <v>0.1</v>
      </c>
      <c r="F135" s="3115">
        <v>15</v>
      </c>
    </row>
    <row r="136" spans="1:6" ht="24">
      <c r="A136" s="3115">
        <v>64</v>
      </c>
      <c r="B136" s="3767"/>
      <c r="C136" s="3115" t="s">
        <v>2795</v>
      </c>
      <c r="D136" s="3089" t="s">
        <v>2796</v>
      </c>
      <c r="E136" s="3115">
        <v>0.1</v>
      </c>
      <c r="F136" s="3115">
        <v>15</v>
      </c>
    </row>
    <row r="137" spans="1:6" ht="24">
      <c r="A137" s="3115">
        <v>65</v>
      </c>
      <c r="B137" s="3115" t="s">
        <v>2797</v>
      </c>
      <c r="C137" s="3115" t="s">
        <v>2798</v>
      </c>
      <c r="D137" s="3089" t="s">
        <v>2799</v>
      </c>
      <c r="E137" s="3115">
        <v>0.1</v>
      </c>
      <c r="F137" s="3115">
        <v>15</v>
      </c>
    </row>
    <row r="138" spans="1:6" ht="14.4">
      <c r="A138" s="3115"/>
      <c r="B138" s="3115"/>
      <c r="C138" s="3115"/>
      <c r="D138" s="3115"/>
      <c r="E138" s="3115" t="s">
        <v>2800</v>
      </c>
      <c r="F138" s="3115"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8"/>
    <col min="14" max="16384" width="9" style="748"/>
  </cols>
  <sheetData>
    <row r="1" spans="1:20" ht="16.2" thickBot="1">
      <c r="A1" s="3124" t="s">
        <v>2801</v>
      </c>
      <c r="B1" s="3124"/>
      <c r="C1" s="3124"/>
      <c r="D1" s="3124"/>
      <c r="E1" s="3124"/>
      <c r="F1" s="3124"/>
      <c r="G1" s="3124"/>
      <c r="H1" s="3124"/>
      <c r="I1" s="3124"/>
      <c r="J1" s="3124"/>
      <c r="K1" s="3124"/>
      <c r="L1" s="3124"/>
      <c r="M1" s="3124"/>
      <c r="N1" s="747"/>
    </row>
    <row r="2" spans="1:20">
      <c r="A2" s="3125" t="s">
        <v>2802</v>
      </c>
      <c r="B2" s="3126" t="s">
        <v>2598</v>
      </c>
      <c r="C2" s="3126" t="s">
        <v>2599</v>
      </c>
      <c r="D2" s="3126" t="s">
        <v>2600</v>
      </c>
      <c r="E2" s="3126" t="s">
        <v>2601</v>
      </c>
      <c r="F2" s="3126" t="s">
        <v>2602</v>
      </c>
      <c r="G2" s="3126" t="s">
        <v>2603</v>
      </c>
      <c r="H2" s="3127" t="s">
        <v>2604</v>
      </c>
      <c r="I2" s="3127" t="s">
        <v>2605</v>
      </c>
      <c r="J2" s="3128" t="s">
        <v>2606</v>
      </c>
      <c r="K2" s="3128" t="s">
        <v>2607</v>
      </c>
      <c r="L2" s="3128" t="s">
        <v>2608</v>
      </c>
      <c r="M2" s="3129" t="s">
        <v>2609</v>
      </c>
      <c r="Q2" s="3139" t="s">
        <v>2807</v>
      </c>
      <c r="R2" s="3139" t="s">
        <v>2808</v>
      </c>
      <c r="S2" s="3139" t="s">
        <v>2809</v>
      </c>
      <c r="T2" s="3139" t="s">
        <v>2810</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6.2" thickBot="1">
      <c r="A93" s="3124" t="s">
        <v>2803</v>
      </c>
      <c r="B93" s="3124"/>
      <c r="C93" s="3124"/>
      <c r="D93" s="3124"/>
      <c r="E93" s="3124"/>
      <c r="F93" s="3124"/>
      <c r="G93" s="3124"/>
      <c r="H93" s="3124"/>
      <c r="I93" s="3124"/>
      <c r="J93" s="3124"/>
      <c r="K93" s="3124"/>
      <c r="L93" s="3124"/>
      <c r="M93" s="3124"/>
    </row>
    <row r="94" spans="1:20">
      <c r="A94" s="3125" t="s">
        <v>2802</v>
      </c>
      <c r="B94" s="3126" t="s">
        <v>2598</v>
      </c>
      <c r="C94" s="3126" t="s">
        <v>2599</v>
      </c>
      <c r="D94" s="3126" t="s">
        <v>2600</v>
      </c>
      <c r="E94" s="3126" t="s">
        <v>2601</v>
      </c>
      <c r="F94" s="3126" t="s">
        <v>2602</v>
      </c>
      <c r="G94" s="3126" t="s">
        <v>2603</v>
      </c>
      <c r="H94" s="3127" t="s">
        <v>2604</v>
      </c>
      <c r="I94" s="3127" t="s">
        <v>2605</v>
      </c>
      <c r="J94" s="3128" t="s">
        <v>2606</v>
      </c>
      <c r="K94" s="3128" t="s">
        <v>2607</v>
      </c>
      <c r="L94" s="3128" t="s">
        <v>2608</v>
      </c>
      <c r="M94" s="3129" t="s">
        <v>2609</v>
      </c>
      <c r="N94" s="748">
        <f>SUMPRODUCT((A95:A184=ROUNDDOWN(基准地价修正!G3,1))*(B94:M94=基准地价修正!G2)*(B95:M184))</f>
        <v>1.2158</v>
      </c>
      <c r="Q94" s="3139" t="s">
        <v>2807</v>
      </c>
      <c r="R94" s="3139" t="s">
        <v>2808</v>
      </c>
      <c r="S94" s="3139" t="s">
        <v>2809</v>
      </c>
      <c r="T94" s="3139" t="s">
        <v>2810</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5.6">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5.6">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6.2" thickBot="1">
      <c r="A185" s="3124" t="s">
        <v>2804</v>
      </c>
      <c r="B185" s="3124"/>
      <c r="C185" s="3124"/>
      <c r="D185" s="3124"/>
      <c r="E185" s="3124"/>
      <c r="F185" s="3124"/>
      <c r="G185" s="3124"/>
      <c r="H185" s="3124"/>
      <c r="I185" s="3124"/>
      <c r="J185" s="3124"/>
      <c r="K185" s="3124"/>
      <c r="L185" s="3124"/>
      <c r="M185" s="3124"/>
    </row>
    <row r="186" spans="1:20">
      <c r="A186" s="3125" t="s">
        <v>2802</v>
      </c>
      <c r="B186" s="3126" t="s">
        <v>2598</v>
      </c>
      <c r="C186" s="3126" t="s">
        <v>2599</v>
      </c>
      <c r="D186" s="3126" t="s">
        <v>2600</v>
      </c>
      <c r="E186" s="3126" t="s">
        <v>2601</v>
      </c>
      <c r="F186" s="3126" t="s">
        <v>2602</v>
      </c>
      <c r="G186" s="3126" t="s">
        <v>2603</v>
      </c>
      <c r="H186" s="3127" t="s">
        <v>2604</v>
      </c>
      <c r="I186" s="3127" t="s">
        <v>2605</v>
      </c>
      <c r="J186" s="3128" t="s">
        <v>2606</v>
      </c>
      <c r="K186" s="3128" t="s">
        <v>2607</v>
      </c>
      <c r="L186" s="3128" t="s">
        <v>2608</v>
      </c>
      <c r="M186" s="3129" t="s">
        <v>2609</v>
      </c>
      <c r="Q186" s="3139" t="s">
        <v>2807</v>
      </c>
      <c r="R186" s="3139" t="s">
        <v>2808</v>
      </c>
      <c r="S186" s="3139" t="s">
        <v>2809</v>
      </c>
      <c r="T186" s="3139" t="s">
        <v>2810</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6.2" thickBot="1">
      <c r="A277" s="3124" t="s">
        <v>2805</v>
      </c>
      <c r="B277" s="3124"/>
      <c r="C277" s="3124"/>
      <c r="D277" s="3124"/>
      <c r="E277" s="3124"/>
      <c r="F277" s="3124"/>
      <c r="G277" s="3124"/>
      <c r="H277" s="3124"/>
      <c r="I277" s="3124"/>
      <c r="J277" s="3124"/>
      <c r="K277" s="3124"/>
      <c r="L277" s="3124"/>
      <c r="M277" s="3124"/>
    </row>
    <row r="278" spans="1:21">
      <c r="A278" s="3125" t="s">
        <v>2802</v>
      </c>
      <c r="B278" s="3126" t="s">
        <v>2598</v>
      </c>
      <c r="C278" s="3126" t="s">
        <v>2599</v>
      </c>
      <c r="D278" s="3126" t="s">
        <v>2600</v>
      </c>
      <c r="E278" s="3126" t="s">
        <v>2601</v>
      </c>
      <c r="F278" s="3126" t="s">
        <v>2602</v>
      </c>
      <c r="G278" s="3126" t="s">
        <v>2603</v>
      </c>
      <c r="H278" s="3127" t="s">
        <v>2604</v>
      </c>
      <c r="I278" s="3127" t="s">
        <v>2605</v>
      </c>
      <c r="J278" s="3128" t="s">
        <v>2606</v>
      </c>
      <c r="K278" s="3128" t="s">
        <v>2607</v>
      </c>
      <c r="L278" s="3128" t="s">
        <v>2608</v>
      </c>
      <c r="M278" s="3129" t="s">
        <v>2609</v>
      </c>
      <c r="Q278" s="3139" t="s">
        <v>2807</v>
      </c>
      <c r="R278" s="3139" t="s">
        <v>2808</v>
      </c>
      <c r="S278" s="3139" t="s">
        <v>2811</v>
      </c>
      <c r="T278" s="3139" t="s">
        <v>2812</v>
      </c>
      <c r="U278" s="3139" t="s">
        <v>2810</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6.2" thickBot="1">
      <c r="A369" s="3124" t="s">
        <v>2806</v>
      </c>
      <c r="B369" s="3137"/>
      <c r="C369" s="3137"/>
      <c r="D369" s="3137"/>
      <c r="E369" s="3137"/>
      <c r="F369" s="3137"/>
      <c r="G369" s="3137"/>
      <c r="H369" s="3137"/>
      <c r="I369" s="3137"/>
      <c r="J369" s="3137"/>
      <c r="K369" s="3137"/>
      <c r="L369" s="3137"/>
      <c r="M369" s="3137"/>
    </row>
    <row r="370" spans="1:20">
      <c r="A370" s="3125" t="s">
        <v>2802</v>
      </c>
      <c r="B370" s="3126" t="s">
        <v>2598</v>
      </c>
      <c r="C370" s="3126" t="s">
        <v>2599</v>
      </c>
      <c r="D370" s="3126" t="s">
        <v>2600</v>
      </c>
      <c r="E370" s="3126" t="s">
        <v>2601</v>
      </c>
      <c r="F370" s="3126" t="s">
        <v>2602</v>
      </c>
      <c r="G370" s="3126" t="s">
        <v>2603</v>
      </c>
      <c r="H370" s="3127" t="s">
        <v>2604</v>
      </c>
      <c r="I370" s="3127" t="s">
        <v>2605</v>
      </c>
      <c r="J370" s="3128" t="s">
        <v>2606</v>
      </c>
      <c r="K370" s="3128" t="s">
        <v>2607</v>
      </c>
      <c r="L370" s="3128" t="s">
        <v>2608</v>
      </c>
      <c r="M370" s="3129" t="s">
        <v>2609</v>
      </c>
      <c r="N370" s="748">
        <f>SUMPRODUCT((A371:A460=ROUNDDOWN(基准地价修正!G3,1))*(B370:M370=基准地价修正!G2)*(B371:M460))</f>
        <v>1.1565000000000001</v>
      </c>
      <c r="Q370" s="3139" t="s">
        <v>2807</v>
      </c>
      <c r="R370" s="3139" t="s">
        <v>2808</v>
      </c>
      <c r="S370" s="3139" t="s">
        <v>2809</v>
      </c>
      <c r="T370" s="3139" t="s">
        <v>2810</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7" customWidth="1"/>
    <col min="2" max="2" width="29.21875" style="249" customWidth="1"/>
    <col min="3" max="3" width="12.109375" style="249" customWidth="1"/>
    <col min="4" max="5" width="11.21875" style="270" customWidth="1"/>
    <col min="6" max="6" width="9.44140625" style="249" customWidth="1"/>
    <col min="7" max="7" width="31.88671875" style="249" customWidth="1"/>
    <col min="8" max="254" width="9" style="249" customWidth="1"/>
    <col min="255" max="16384" width="8.33203125" style="249"/>
  </cols>
  <sheetData>
    <row r="1" spans="1:7" s="198" customFormat="1" ht="21">
      <c r="A1" s="194" t="s">
        <v>56</v>
      </c>
      <c r="B1" s="195"/>
      <c r="C1" s="196"/>
      <c r="D1" s="196"/>
      <c r="E1" s="196"/>
      <c r="F1" s="196"/>
      <c r="G1" s="197"/>
    </row>
    <row r="2" spans="1:7" s="198" customFormat="1" ht="18" customHeight="1">
      <c r="A2" s="199" t="s">
        <v>57</v>
      </c>
      <c r="B2" s="200">
        <f ca="1">C52</f>
        <v>26708</v>
      </c>
      <c r="C2" s="2" t="s">
        <v>106</v>
      </c>
      <c r="D2" s="197"/>
      <c r="E2" s="197"/>
      <c r="F2" s="197"/>
      <c r="G2" s="197"/>
    </row>
    <row r="3" spans="1:7" s="198" customFormat="1" ht="18" customHeight="1" thickBot="1">
      <c r="A3" s="201" t="s">
        <v>58</v>
      </c>
      <c r="B3" s="202">
        <f ca="1">ROUND(B2*10000/'数据-汇总表'!E3,0)</f>
        <v>1306781</v>
      </c>
      <c r="C3" s="2" t="s">
        <v>107</v>
      </c>
      <c r="D3" s="197"/>
      <c r="E3" s="197"/>
      <c r="F3" s="197"/>
      <c r="G3" s="197"/>
    </row>
    <row r="4" spans="1:7" s="206" customFormat="1" ht="16.2">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6" t="s">
        <v>346</v>
      </c>
      <c r="B6" s="213" t="s">
        <v>64</v>
      </c>
      <c r="C6" s="214">
        <v>20000</v>
      </c>
      <c r="D6" s="215"/>
      <c r="E6" s="216"/>
      <c r="F6" s="216"/>
      <c r="G6" s="217"/>
    </row>
    <row r="7" spans="1:7" s="212" customFormat="1" ht="13.5" customHeight="1">
      <c r="A7" s="776" t="s">
        <v>347</v>
      </c>
      <c r="B7" s="213" t="s">
        <v>30</v>
      </c>
      <c r="C7" s="218">
        <f>ROUND(C6*F7,0)</f>
        <v>610</v>
      </c>
      <c r="D7" s="218"/>
      <c r="E7" s="216"/>
      <c r="F7" s="219">
        <f>'数据-取费表'!B48+'数据-取费表'!B49</f>
        <v>3.0499999999999999E-2</v>
      </c>
      <c r="G7" s="217"/>
    </row>
    <row r="8" spans="1:7" s="221" customFormat="1">
      <c r="A8" s="776" t="s">
        <v>348</v>
      </c>
      <c r="B8" s="213" t="s">
        <v>65</v>
      </c>
      <c r="C8" s="218" t="str">
        <f>IF(G8="已包含在土地购买价格中","0",'数据-取费表'!B29)</f>
        <v>0</v>
      </c>
      <c r="D8" s="220"/>
      <c r="E8" s="218"/>
      <c r="F8" s="219"/>
      <c r="G8" s="1" t="s">
        <v>451</v>
      </c>
    </row>
    <row r="9" spans="1:7" s="212" customFormat="1" ht="13.5" customHeight="1">
      <c r="A9" s="777" t="s">
        <v>355</v>
      </c>
      <c r="B9" s="222" t="s">
        <v>66</v>
      </c>
      <c r="C9" s="223">
        <f>ROUND(D9*E9/10000,0)</f>
        <v>0</v>
      </c>
      <c r="D9" s="843">
        <f>'数据-汇总表'!E5</f>
        <v>0</v>
      </c>
      <c r="E9" s="223">
        <f>'数据-取费表'!B27</f>
        <v>0</v>
      </c>
      <c r="F9" s="219"/>
      <c r="G9" s="224"/>
    </row>
    <row r="10" spans="1:7" s="212" customFormat="1" ht="13.5" customHeight="1">
      <c r="A10" s="777" t="s">
        <v>356</v>
      </c>
      <c r="B10" s="222" t="s">
        <v>67</v>
      </c>
      <c r="C10" s="223">
        <f>ROUND(D10*E10/10000,0)</f>
        <v>4</v>
      </c>
      <c r="D10" s="843">
        <f>'数据-汇总表'!E6</f>
        <v>204.38</v>
      </c>
      <c r="E10" s="223">
        <f>'数据-取费表'!B28</f>
        <v>200</v>
      </c>
      <c r="F10" s="219"/>
      <c r="G10" s="224"/>
    </row>
    <row r="11" spans="1:7" s="212" customFormat="1" ht="13.5" hidden="1" customHeight="1">
      <c r="A11" s="225" t="s">
        <v>4</v>
      </c>
      <c r="B11" s="213" t="s">
        <v>68</v>
      </c>
      <c r="C11" s="209"/>
      <c r="D11" s="845"/>
      <c r="E11" s="216"/>
      <c r="F11" s="216"/>
      <c r="G11" s="217"/>
    </row>
    <row r="12" spans="1:7" s="212" customFormat="1" ht="13.5" hidden="1" customHeight="1">
      <c r="A12" s="225" t="s">
        <v>5</v>
      </c>
      <c r="B12" s="213" t="s">
        <v>69</v>
      </c>
      <c r="C12" s="209">
        <v>0</v>
      </c>
      <c r="D12" s="845"/>
      <c r="E12" s="226"/>
      <c r="F12" s="219">
        <v>3.0499999999999999E-2</v>
      </c>
      <c r="G12" s="217"/>
    </row>
    <row r="13" spans="1:7" s="212" customFormat="1" ht="13.5" hidden="1" customHeight="1">
      <c r="A13" s="225" t="s">
        <v>6</v>
      </c>
      <c r="B13" s="213" t="s">
        <v>70</v>
      </c>
      <c r="C13" s="209"/>
      <c r="D13" s="845"/>
      <c r="E13" s="216"/>
      <c r="F13" s="216"/>
      <c r="G13" s="217"/>
    </row>
    <row r="14" spans="1:7" s="212" customFormat="1" ht="13.5" hidden="1" customHeight="1">
      <c r="A14" s="225" t="s">
        <v>7</v>
      </c>
      <c r="B14" s="213" t="s">
        <v>65</v>
      </c>
      <c r="C14" s="209"/>
      <c r="D14" s="845"/>
      <c r="E14" s="216"/>
      <c r="F14" s="216"/>
      <c r="G14" s="217" t="s">
        <v>71</v>
      </c>
    </row>
    <row r="15" spans="1:7" s="212" customFormat="1" ht="13.5" hidden="1" customHeight="1">
      <c r="A15" s="225" t="s">
        <v>8</v>
      </c>
      <c r="B15" s="213" t="s">
        <v>72</v>
      </c>
      <c r="C15" s="218"/>
      <c r="D15" s="845"/>
      <c r="E15" s="216"/>
      <c r="F15" s="216"/>
      <c r="G15" s="217" t="s">
        <v>73</v>
      </c>
    </row>
    <row r="16" spans="1:7" s="212" customFormat="1" ht="13.5" hidden="1" customHeight="1">
      <c r="A16" s="225" t="s">
        <v>9</v>
      </c>
      <c r="B16" s="213" t="s">
        <v>65</v>
      </c>
      <c r="C16" s="218"/>
      <c r="D16" s="845"/>
      <c r="E16" s="216"/>
      <c r="F16" s="216"/>
      <c r="G16" s="217"/>
    </row>
    <row r="17" spans="1:7" s="212" customFormat="1" ht="13.5" hidden="1" customHeight="1">
      <c r="A17" s="225" t="s">
        <v>10</v>
      </c>
      <c r="B17" s="213" t="s">
        <v>74</v>
      </c>
      <c r="C17" s="227"/>
      <c r="D17" s="846"/>
      <c r="E17" s="227"/>
      <c r="F17" s="227"/>
      <c r="G17" s="217" t="s">
        <v>73</v>
      </c>
    </row>
    <row r="18" spans="1:7" s="212" customFormat="1" ht="13.5" hidden="1" customHeight="1">
      <c r="A18" s="225" t="s">
        <v>11</v>
      </c>
      <c r="B18" s="213" t="s">
        <v>75</v>
      </c>
      <c r="C18" s="218">
        <v>0</v>
      </c>
      <c r="D18" s="845"/>
      <c r="E18" s="216"/>
      <c r="F18" s="219">
        <v>3.0499999999999999E-2</v>
      </c>
      <c r="G18" s="217" t="s">
        <v>76</v>
      </c>
    </row>
    <row r="19" spans="1:7" s="221" customFormat="1" ht="13.5" customHeight="1">
      <c r="A19" s="775" t="s">
        <v>417</v>
      </c>
      <c r="B19" s="208" t="s">
        <v>84</v>
      </c>
      <c r="C19" s="209">
        <f>IF(G19="已包含在土地取得成本中","0",ROUND(D19*E19/10000,0))</f>
        <v>3</v>
      </c>
      <c r="D19" s="847">
        <f>'数据-汇总表'!E3</f>
        <v>204.38</v>
      </c>
      <c r="E19" s="209">
        <f>'数据-取费表'!B31</f>
        <v>150</v>
      </c>
      <c r="F19" s="229"/>
      <c r="G19" s="1" t="s">
        <v>436</v>
      </c>
    </row>
    <row r="20" spans="1:7" s="212" customFormat="1" ht="13.5" customHeight="1">
      <c r="A20" s="775" t="s">
        <v>419</v>
      </c>
      <c r="B20" s="208" t="s">
        <v>77</v>
      </c>
      <c r="C20" s="230">
        <f>ROUND((C5+C19)*F20,0)</f>
        <v>618</v>
      </c>
      <c r="D20" s="230"/>
      <c r="E20" s="230"/>
      <c r="F20" s="231">
        <f>'数据-取费表'!B37</f>
        <v>0.03</v>
      </c>
      <c r="G20" s="1064" t="s">
        <v>430</v>
      </c>
    </row>
    <row r="21" spans="1:7" s="212" customFormat="1" ht="13.5" customHeight="1">
      <c r="A21" s="775" t="s">
        <v>421</v>
      </c>
      <c r="B21" s="208" t="s">
        <v>78</v>
      </c>
      <c r="C21" s="233">
        <f>F21</f>
        <v>0.03</v>
      </c>
      <c r="D21" s="234" t="s">
        <v>99</v>
      </c>
      <c r="E21" s="230"/>
      <c r="F21" s="231">
        <f>'数据-取费表'!B38</f>
        <v>0.03</v>
      </c>
      <c r="G21" s="232" t="s">
        <v>79</v>
      </c>
    </row>
    <row r="22" spans="1:7" s="212" customFormat="1" ht="13.5" customHeight="1">
      <c r="A22" s="775" t="s">
        <v>341</v>
      </c>
      <c r="B22" s="208" t="s">
        <v>80</v>
      </c>
      <c r="C22" s="1101">
        <f ca="1">ROUND(SUM(C23:C25),0)</f>
        <v>868</v>
      </c>
      <c r="D22" s="233">
        <f ca="1">C26</f>
        <v>5.9999999999999995E-4</v>
      </c>
      <c r="E22" s="234" t="s">
        <v>99</v>
      </c>
      <c r="F22" s="235">
        <f ca="1">'数据-取费表'!B40</f>
        <v>4.1499999999999995E-2</v>
      </c>
      <c r="G22" s="1064" t="str">
        <f>IF('数据-取费表'!B22&lt;=1,"单利计息","复利计息")</f>
        <v>单利计息</v>
      </c>
    </row>
    <row r="23" spans="1:7" s="212" customFormat="1" ht="13.5" customHeight="1">
      <c r="A23" s="778" t="s">
        <v>349</v>
      </c>
      <c r="B23" s="213" t="s">
        <v>423</v>
      </c>
      <c r="C23" s="1102">
        <f ca="1">ROUND(IF('数据-取费表'!B22&lt;=1,C5*F22*'数据-取费表'!B23,C5*(POWER((1+F22),'数据-取费表'!B23)-1)),0)</f>
        <v>855</v>
      </c>
      <c r="D23" s="236"/>
      <c r="E23" s="236"/>
      <c r="F23" s="237"/>
      <c r="G23" s="238" t="s">
        <v>81</v>
      </c>
    </row>
    <row r="24" spans="1:7" s="212" customFormat="1" ht="13.5" customHeight="1">
      <c r="A24" s="778" t="s">
        <v>347</v>
      </c>
      <c r="B24" s="213" t="s">
        <v>418</v>
      </c>
      <c r="C24" s="1102">
        <f ca="1">ROUND(IF('数据-取费表'!B22&lt;=1,C19*F22*('数据-取费表'!B19/2+'数据-取费表'!B21),C19*(POWER((1+F22),('数据-取费表'!B19/2+'数据-取费表'!B21))-1)),0)</f>
        <v>0</v>
      </c>
      <c r="D24" s="236"/>
      <c r="E24" s="236"/>
      <c r="F24" s="237"/>
      <c r="G24" s="238" t="s">
        <v>82</v>
      </c>
    </row>
    <row r="25" spans="1:7" s="212" customFormat="1" ht="24">
      <c r="A25" s="778" t="s">
        <v>348</v>
      </c>
      <c r="B25" s="213" t="s">
        <v>420</v>
      </c>
      <c r="C25" s="1102">
        <f ca="1">ROUND(IF('数据-取费表'!B22&lt;=1,C20*F22*'数据-取费表'!B23/2,C20*(POWER((1+F22),'数据-取费表'!B23/2)-1)),0)</f>
        <v>13</v>
      </c>
      <c r="D25" s="236"/>
      <c r="E25" s="239"/>
      <c r="F25" s="237"/>
      <c r="G25" s="240" t="s">
        <v>83</v>
      </c>
    </row>
    <row r="26" spans="1:7" s="212" customFormat="1">
      <c r="A26" s="778" t="s">
        <v>350</v>
      </c>
      <c r="B26" s="213" t="s">
        <v>422</v>
      </c>
      <c r="C26" s="236">
        <f ca="1">ROUND(IF('数据-取费表'!B22&lt;=1,F21*F22*'数据-取费表'!B23/2,F21*(POWER((1+F22),'数据-取费表'!B23/2)-1)),4)</f>
        <v>5.9999999999999995E-4</v>
      </c>
      <c r="D26" s="236"/>
      <c r="E26" s="239"/>
      <c r="F26" s="237"/>
      <c r="G26" s="241"/>
    </row>
    <row r="27" spans="1:7" s="212" customFormat="1" ht="26.4">
      <c r="A27" s="775" t="s">
        <v>342</v>
      </c>
      <c r="B27" s="242" t="s">
        <v>85</v>
      </c>
      <c r="C27" s="243">
        <f>C28</f>
        <v>2123</v>
      </c>
      <c r="D27" s="233">
        <f>C29</f>
        <v>3.0000000000000001E-3</v>
      </c>
      <c r="E27" s="234" t="s">
        <v>99</v>
      </c>
      <c r="F27" s="244">
        <f>'数据-取费表'!Q16</f>
        <v>0.1</v>
      </c>
      <c r="G27" s="245" t="s">
        <v>431</v>
      </c>
    </row>
    <row r="28" spans="1:7" s="212" customFormat="1" ht="13.5" customHeight="1">
      <c r="A28" s="778" t="s">
        <v>349</v>
      </c>
      <c r="B28" s="246" t="s">
        <v>424</v>
      </c>
      <c r="C28" s="247">
        <f>ROUND((C5+C19+C20)*F27*'数据-取费表'!B21/'数据-取费表'!B20,0)</f>
        <v>2123</v>
      </c>
      <c r="D28" s="233"/>
      <c r="E28" s="234"/>
      <c r="F28" s="244"/>
      <c r="G28" s="245"/>
    </row>
    <row r="29" spans="1:7" s="212" customFormat="1" ht="13.5" customHeight="1">
      <c r="A29" s="778" t="s">
        <v>347</v>
      </c>
      <c r="B29" s="246" t="s">
        <v>425</v>
      </c>
      <c r="C29" s="236">
        <f>ROUND(C21*F27*'数据-取费表'!B21/'数据-取费表'!B20,4)</f>
        <v>3.0000000000000001E-3</v>
      </c>
      <c r="D29" s="233"/>
      <c r="E29" s="234"/>
      <c r="F29" s="244"/>
      <c r="G29" s="245"/>
    </row>
    <row r="30" spans="1:7" s="212" customFormat="1" ht="13.5" customHeight="1">
      <c r="A30" s="775" t="s">
        <v>343</v>
      </c>
      <c r="B30" s="208" t="s">
        <v>31</v>
      </c>
      <c r="C30" s="233">
        <f>F30</f>
        <v>5.6000000000000001E-2</v>
      </c>
      <c r="D30" s="234" t="s">
        <v>100</v>
      </c>
      <c r="E30" s="239"/>
      <c r="F30" s="235">
        <f>'数据-取费表'!B41</f>
        <v>5.6000000000000001E-2</v>
      </c>
      <c r="G30" s="232" t="s">
        <v>86</v>
      </c>
    </row>
    <row r="31" spans="1:7" ht="16.5" customHeight="1">
      <c r="A31" s="207">
        <v>1</v>
      </c>
      <c r="B31" s="208" t="s">
        <v>101</v>
      </c>
      <c r="C31" s="209">
        <f ca="1">ROUND((C5+C19+C20+C22+C27)/(1-C21-D22-D27-C30/(1+'数据-取费表'!B42)),0)</f>
        <v>26528</v>
      </c>
      <c r="D31" s="228"/>
      <c r="E31" s="209"/>
      <c r="F31" s="248"/>
      <c r="G31" s="232" t="s">
        <v>432</v>
      </c>
    </row>
    <row r="32" spans="1:7" s="206" customFormat="1" ht="16.2">
      <c r="A32" s="250" t="s">
        <v>87</v>
      </c>
      <c r="B32" s="251"/>
      <c r="C32" s="251"/>
      <c r="D32" s="251"/>
      <c r="E32" s="251"/>
      <c r="F32" s="251"/>
      <c r="G32" s="252"/>
    </row>
    <row r="33" spans="1:7" s="212" customFormat="1" ht="13.5" customHeight="1">
      <c r="A33" s="253" t="s">
        <v>337</v>
      </c>
      <c r="B33" s="208" t="s">
        <v>88</v>
      </c>
      <c r="C33" s="254">
        <f>SUM(C34:C38)</f>
        <v>216</v>
      </c>
      <c r="D33" s="230"/>
      <c r="E33" s="210"/>
      <c r="F33" s="239"/>
      <c r="G33" s="232"/>
    </row>
    <row r="34" spans="1:7" s="256" customFormat="1" ht="13.5" customHeight="1">
      <c r="A34" s="778" t="s">
        <v>349</v>
      </c>
      <c r="B34" s="213" t="s">
        <v>32</v>
      </c>
      <c r="C34" s="218">
        <f>IF(F34=100%,'数据-取费表'!M16-SUMIF('数据-取费表'!C:C,"公共配套",'数据-取费表'!M:M),'数据-取费表'!O16-SUMIF('数据-取费表'!C:C,"公共配套",'数据-取费表'!O:O))</f>
        <v>204</v>
      </c>
      <c r="D34" s="215"/>
      <c r="E34" s="218"/>
      <c r="F34" s="255">
        <f>IF('数据-取费表'!B24=0,1,'数据-取费表'!N16)</f>
        <v>1</v>
      </c>
      <c r="G34" s="217" t="s">
        <v>89</v>
      </c>
    </row>
    <row r="35" spans="1:7" ht="13.5" customHeight="1">
      <c r="A35" s="778" t="s">
        <v>351</v>
      </c>
      <c r="B35" s="213" t="s">
        <v>33</v>
      </c>
      <c r="C35" s="218">
        <f>ROUND(C34*F35,0)</f>
        <v>6</v>
      </c>
      <c r="D35" s="218"/>
      <c r="E35" s="218"/>
      <c r="F35" s="257">
        <f>'数据-取费表'!B33</f>
        <v>0.03</v>
      </c>
      <c r="G35" s="217" t="s">
        <v>90</v>
      </c>
    </row>
    <row r="36" spans="1:7" ht="24">
      <c r="A36" s="778"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8" t="s">
        <v>353</v>
      </c>
      <c r="B37" s="213" t="s">
        <v>91</v>
      </c>
      <c r="C37" s="247">
        <f>ROUND(E37*D37*F34/10000,0)</f>
        <v>3</v>
      </c>
      <c r="D37" s="215">
        <f>'数据-汇总表'!E3</f>
        <v>204.38</v>
      </c>
      <c r="E37" s="247">
        <f>'数据-取费表'!B35</f>
        <v>150</v>
      </c>
      <c r="F37" s="257"/>
      <c r="G37" s="259" t="s">
        <v>92</v>
      </c>
    </row>
    <row r="38" spans="1:7" ht="13.5" customHeight="1">
      <c r="A38" s="778" t="s">
        <v>354</v>
      </c>
      <c r="B38" s="213" t="s">
        <v>36</v>
      </c>
      <c r="C38" s="218">
        <f>ROUND(C34*F38,0)</f>
        <v>3</v>
      </c>
      <c r="D38" s="218"/>
      <c r="E38" s="218"/>
      <c r="F38" s="257">
        <f>'数据-取费表'!B36</f>
        <v>1.4999999999999999E-2</v>
      </c>
      <c r="G38" s="217" t="s">
        <v>90</v>
      </c>
    </row>
    <row r="39" spans="1:7" s="212" customFormat="1" ht="13.5" customHeight="1">
      <c r="A39" s="775" t="s">
        <v>338</v>
      </c>
      <c r="B39" s="208" t="s">
        <v>77</v>
      </c>
      <c r="C39" s="230">
        <f>ROUND(C33*F20,0)</f>
        <v>6</v>
      </c>
      <c r="D39" s="230"/>
      <c r="E39" s="230"/>
      <c r="F39" s="231"/>
      <c r="G39" s="1064" t="s">
        <v>433</v>
      </c>
    </row>
    <row r="40" spans="1:7" s="212" customFormat="1" ht="13.5" customHeight="1">
      <c r="A40" s="775" t="s">
        <v>339</v>
      </c>
      <c r="B40" s="208" t="s">
        <v>78</v>
      </c>
      <c r="C40" s="260">
        <f>F21</f>
        <v>0.03</v>
      </c>
      <c r="D40" s="234" t="s">
        <v>102</v>
      </c>
      <c r="E40" s="230"/>
      <c r="F40" s="231"/>
      <c r="G40" s="232" t="s">
        <v>93</v>
      </c>
    </row>
    <row r="41" spans="1:7" s="212" customFormat="1" ht="13.5" customHeight="1">
      <c r="A41" s="775" t="s">
        <v>340</v>
      </c>
      <c r="B41" s="208" t="s">
        <v>80</v>
      </c>
      <c r="C41" s="230">
        <f ca="1">ROUND(SUM(C42:C43),0)</f>
        <v>4</v>
      </c>
      <c r="D41" s="233">
        <f ca="1">C44</f>
        <v>5.9999999999999995E-4</v>
      </c>
      <c r="E41" s="234" t="s">
        <v>102</v>
      </c>
      <c r="F41" s="235"/>
      <c r="G41" s="1064" t="str">
        <f>IF('数据-取费表'!B22&lt;=1,"单利计息","复利计息")</f>
        <v>单利计息</v>
      </c>
    </row>
    <row r="42" spans="1:7" ht="13.5" customHeight="1">
      <c r="A42" s="778" t="s">
        <v>349</v>
      </c>
      <c r="B42" s="213" t="s">
        <v>423</v>
      </c>
      <c r="C42" s="236">
        <f ca="1">ROUND(IF('数据-取费表'!B22&lt;=1,C33*F22*'数据-取费表'!B21/2,C33*(POWER((1+F22),'数据-取费表'!B21/2)-1)),0)</f>
        <v>4</v>
      </c>
      <c r="D42" s="236"/>
      <c r="E42" s="236"/>
      <c r="F42" s="237"/>
      <c r="G42" s="3643" t="s">
        <v>94</v>
      </c>
    </row>
    <row r="43" spans="1:7" ht="13.5" customHeight="1">
      <c r="A43" s="778" t="s">
        <v>347</v>
      </c>
      <c r="B43" s="213" t="s">
        <v>426</v>
      </c>
      <c r="C43" s="236">
        <f ca="1">ROUND(IF('数据-取费表'!B22&lt;=1,C39*F22*'数据-取费表'!B21/2,C39*(POWER((1+F22),'数据-取费表'!B21/2)-1)),0)</f>
        <v>0</v>
      </c>
      <c r="D43" s="236"/>
      <c r="E43" s="236"/>
      <c r="F43" s="237"/>
      <c r="G43" s="3644"/>
    </row>
    <row r="44" spans="1:7" ht="13.5" customHeight="1">
      <c r="A44" s="778" t="s">
        <v>348</v>
      </c>
      <c r="B44" s="213" t="s">
        <v>428</v>
      </c>
      <c r="C44" s="236">
        <f ca="1">ROUND(IF('数据-取费表'!B22&lt;=1,C40*F22*'数据-取费表'!B21/2,C40*(POWER((1+F22),'数据-取费表'!B21/2)-1)),4)</f>
        <v>5.9999999999999995E-4</v>
      </c>
      <c r="D44" s="236"/>
      <c r="E44" s="236"/>
      <c r="F44" s="237"/>
      <c r="G44" s="3645"/>
    </row>
    <row r="45" spans="1:7" s="212" customFormat="1" ht="13.5" customHeight="1">
      <c r="A45" s="775" t="s">
        <v>341</v>
      </c>
      <c r="B45" s="242" t="s">
        <v>85</v>
      </c>
      <c r="C45" s="243">
        <f>C46</f>
        <v>22</v>
      </c>
      <c r="D45" s="233">
        <f>C47</f>
        <v>3.0000000000000001E-3</v>
      </c>
      <c r="E45" s="234" t="s">
        <v>102</v>
      </c>
      <c r="F45" s="244"/>
      <c r="G45" s="245" t="s">
        <v>434</v>
      </c>
    </row>
    <row r="46" spans="1:7" s="212" customFormat="1" ht="13.5" customHeight="1">
      <c r="A46" s="778" t="s">
        <v>349</v>
      </c>
      <c r="B46" s="246" t="s">
        <v>427</v>
      </c>
      <c r="C46" s="247">
        <f>ROUND((C33+C39)*F27,0)</f>
        <v>22</v>
      </c>
      <c r="D46" s="261"/>
      <c r="E46" s="234"/>
      <c r="F46" s="244"/>
      <c r="G46" s="245"/>
    </row>
    <row r="47" spans="1:7" s="212" customFormat="1" ht="13.5" customHeight="1">
      <c r="A47" s="778" t="s">
        <v>347</v>
      </c>
      <c r="B47" s="246" t="s">
        <v>429</v>
      </c>
      <c r="C47" s="236">
        <f>ROUND(C40*F27,4)</f>
        <v>3.0000000000000001E-3</v>
      </c>
      <c r="D47" s="261"/>
      <c r="E47" s="234"/>
      <c r="F47" s="244"/>
      <c r="G47" s="245"/>
    </row>
    <row r="48" spans="1:7" s="212" customFormat="1" ht="13.5" customHeight="1">
      <c r="A48" s="775" t="s">
        <v>342</v>
      </c>
      <c r="B48" s="208" t="s">
        <v>95</v>
      </c>
      <c r="C48" s="260">
        <f>F30</f>
        <v>5.6000000000000001E-2</v>
      </c>
      <c r="D48" s="234" t="s">
        <v>103</v>
      </c>
      <c r="E48" s="230"/>
      <c r="F48" s="235"/>
      <c r="G48" s="232" t="s">
        <v>96</v>
      </c>
    </row>
    <row r="49" spans="1:7" ht="16.5" customHeight="1">
      <c r="A49" s="775" t="s">
        <v>343</v>
      </c>
      <c r="B49" s="208" t="s">
        <v>104</v>
      </c>
      <c r="C49" s="230">
        <f ca="1">ROUND((C33+C39+C41+C45)/(1-C40-D41-D45-C48/(1+'数据-取费表'!B42)),0)</f>
        <v>272</v>
      </c>
      <c r="D49" s="230"/>
      <c r="E49" s="230"/>
      <c r="F49" s="262"/>
      <c r="G49" s="232" t="s">
        <v>435</v>
      </c>
    </row>
    <row r="50" spans="1:7" s="256" customFormat="1" ht="24">
      <c r="A50" s="775" t="s">
        <v>344</v>
      </c>
      <c r="B50" s="208" t="s">
        <v>97</v>
      </c>
      <c r="C50" s="230"/>
      <c r="D50" s="230"/>
      <c r="E50" s="230"/>
      <c r="F50" s="262">
        <f>IF('数据-取费表'!B24=0,'数据-取费表'!N16,1)</f>
        <v>0.66</v>
      </c>
      <c r="G50" s="245" t="s">
        <v>98</v>
      </c>
    </row>
    <row r="51" spans="1:7" ht="16.5" customHeight="1">
      <c r="A51" s="775" t="s">
        <v>345</v>
      </c>
      <c r="B51" s="208" t="s">
        <v>105</v>
      </c>
      <c r="C51" s="230">
        <f ca="1">ROUND(C49*F50,0)</f>
        <v>180</v>
      </c>
      <c r="D51" s="230"/>
      <c r="E51" s="230"/>
      <c r="F51" s="262"/>
      <c r="G51" s="232" t="s">
        <v>37</v>
      </c>
    </row>
    <row r="52" spans="1:7" s="206" customFormat="1" ht="16.8" thickBot="1">
      <c r="A52" s="263" t="s">
        <v>38</v>
      </c>
      <c r="B52" s="264"/>
      <c r="C52" s="265">
        <f ca="1">C31+C51</f>
        <v>26708</v>
      </c>
      <c r="D52" s="264"/>
      <c r="E52" s="264"/>
      <c r="F52" s="264"/>
      <c r="G52" s="266"/>
    </row>
    <row r="55" spans="1:7" ht="15">
      <c r="B55" s="268" t="s">
        <v>39</v>
      </c>
      <c r="C55" s="269"/>
    </row>
    <row r="56" spans="1:7">
      <c r="B56" s="271" t="s">
        <v>40</v>
      </c>
      <c r="C56" s="272">
        <f ca="1">ROUND(C51/C52,3)</f>
        <v>7.0000000000000001E-3</v>
      </c>
    </row>
    <row r="57" spans="1:7">
      <c r="B57" s="271" t="s">
        <v>41</v>
      </c>
      <c r="C57" s="273">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9" customWidth="1"/>
    <col min="2" max="2" width="37.21875" style="1489" customWidth="1"/>
    <col min="3" max="3" width="11.33203125" style="1489" customWidth="1"/>
    <col min="4" max="4" width="31.77734375" style="1489" customWidth="1"/>
    <col min="5" max="5" width="0.44140625" style="1489" customWidth="1"/>
    <col min="6" max="7" width="13" style="1489" customWidth="1"/>
    <col min="8" max="16384" width="9" style="1489"/>
  </cols>
  <sheetData>
    <row r="1" spans="1:5" ht="17.399999999999999">
      <c r="A1" s="1487" t="s">
        <v>908</v>
      </c>
      <c r="B1" s="1488"/>
      <c r="C1" s="1488"/>
      <c r="D1" s="1488"/>
      <c r="E1" s="1488"/>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7.399999999999999">
      <c r="A3" s="3466" t="str">
        <f>IF(项目基本情况!B9="房地产市场价值","估价结果一览表（市场价值不需“结果表-1”）","估价结果一览表")</f>
        <v>估价结果一览表</v>
      </c>
      <c r="B3" s="3466"/>
      <c r="C3" s="3466"/>
      <c r="D3" s="3466"/>
      <c r="E3" s="3466"/>
    </row>
    <row r="4" spans="1:5" ht="18" thickBot="1">
      <c r="A4" s="1490"/>
      <c r="B4" s="3464" t="s">
        <v>917</v>
      </c>
      <c r="C4" s="3464"/>
      <c r="D4" s="3464"/>
      <c r="E4" s="1490"/>
    </row>
    <row r="5" spans="1:5" ht="16.2" thickTop="1">
      <c r="A5" s="1488"/>
      <c r="B5" s="3462" t="s">
        <v>909</v>
      </c>
      <c r="C5" s="1491" t="s">
        <v>910</v>
      </c>
      <c r="D5" s="848">
        <f ca="1">结果表!H101</f>
        <v>4068</v>
      </c>
      <c r="E5" s="1488"/>
    </row>
    <row r="6" spans="1:5" ht="15.6">
      <c r="A6" s="1488"/>
      <c r="B6" s="3462"/>
      <c r="C6" s="1491" t="s">
        <v>911</v>
      </c>
      <c r="D6" s="848" t="str">
        <f ca="1">NUMBERSTRING(INT(D5*10000),2)&amp;"元整"</f>
        <v>肆仟零陆拾捌万元整</v>
      </c>
      <c r="E6" s="1488"/>
    </row>
    <row r="7" spans="1:5" ht="15.6">
      <c r="A7" s="1488"/>
      <c r="B7" s="3467"/>
      <c r="C7" s="1492" t="s">
        <v>912</v>
      </c>
      <c r="D7" s="849">
        <f ca="1">结果表!H102</f>
        <v>199041</v>
      </c>
      <c r="E7" s="1488"/>
    </row>
    <row r="8" spans="1:5" ht="15.6">
      <c r="A8" s="1488"/>
      <c r="B8" s="3468" t="str">
        <f>结果表!E103</f>
        <v>2.估价师知悉的法定优先受偿款</v>
      </c>
      <c r="C8" s="1493" t="s">
        <v>913</v>
      </c>
      <c r="D8" s="849">
        <f>结果表!H103</f>
        <v>0</v>
      </c>
      <c r="E8" s="1488"/>
    </row>
    <row r="9" spans="1:5" ht="15.6">
      <c r="A9" s="1488"/>
      <c r="B9" s="3470"/>
      <c r="C9" s="1491" t="s">
        <v>911</v>
      </c>
      <c r="D9" s="848" t="str">
        <f>NUMBERSTRING(INT(D8*10000),2)&amp;"元整"</f>
        <v>零元整</v>
      </c>
      <c r="E9" s="1488"/>
    </row>
    <row r="10" spans="1:5" ht="15.6">
      <c r="A10" s="1488"/>
      <c r="B10" s="1494" t="s">
        <v>916</v>
      </c>
      <c r="C10" s="1495" t="s">
        <v>914</v>
      </c>
      <c r="D10" s="850">
        <f>结果表!H104</f>
        <v>0</v>
      </c>
      <c r="E10" s="1488"/>
    </row>
    <row r="11" spans="1:5" ht="15.6">
      <c r="A11" s="1488"/>
      <c r="B11" s="1494" t="s">
        <v>918</v>
      </c>
      <c r="C11" s="1495" t="s">
        <v>919</v>
      </c>
      <c r="D11" s="850">
        <f>结果表!H105</f>
        <v>0</v>
      </c>
      <c r="E11" s="1488"/>
    </row>
    <row r="12" spans="1:5" ht="15.6">
      <c r="A12" s="1488"/>
      <c r="B12" s="1494" t="s">
        <v>920</v>
      </c>
      <c r="C12" s="1495" t="s">
        <v>919</v>
      </c>
      <c r="D12" s="850">
        <f>结果表!H106</f>
        <v>0</v>
      </c>
      <c r="E12" s="1488"/>
    </row>
    <row r="13" spans="1:5" ht="15.6">
      <c r="A13" s="1488"/>
      <c r="B13" s="3461" t="str">
        <f>结果表!E107</f>
        <v>3.房地产抵押价值</v>
      </c>
      <c r="C13" s="1496" t="s">
        <v>910</v>
      </c>
      <c r="D13" s="851">
        <f ca="1">结果表!H107</f>
        <v>4068</v>
      </c>
      <c r="E13" s="1488"/>
    </row>
    <row r="14" spans="1:5" ht="15.6">
      <c r="A14" s="1488"/>
      <c r="B14" s="3462"/>
      <c r="C14" s="1491" t="s">
        <v>911</v>
      </c>
      <c r="D14" s="848" t="str">
        <f ca="1">NUMBERSTRING(INT(D13*10000),2)&amp;"元整"</f>
        <v>肆仟零陆拾捌万元整</v>
      </c>
      <c r="E14" s="1488"/>
    </row>
    <row r="15" spans="1:5" ht="15.6">
      <c r="A15" s="1488"/>
      <c r="B15" s="3467"/>
      <c r="C15" s="1492" t="s">
        <v>921</v>
      </c>
      <c r="D15" s="857">
        <f ca="1">结果表!H108</f>
        <v>199041</v>
      </c>
      <c r="E15" s="1488"/>
    </row>
    <row r="16" spans="1:5" ht="15.6">
      <c r="A16" s="1488"/>
      <c r="B16" s="3468" t="str">
        <f>结果表!E109</f>
        <v>——</v>
      </c>
      <c r="C16" s="1496" t="s">
        <v>922</v>
      </c>
      <c r="D16" s="1497" t="str">
        <f>结果表!H109</f>
        <v>——</v>
      </c>
      <c r="E16" s="1488"/>
    </row>
    <row r="17" spans="1:5" ht="15.6">
      <c r="A17" s="1488"/>
      <c r="B17" s="3469"/>
      <c r="C17" s="1491" t="s">
        <v>923</v>
      </c>
      <c r="D17" s="848" t="e">
        <f>NUMBERSTRING(INT(D16*10000),2)&amp;"元整"</f>
        <v>#VALUE!</v>
      </c>
      <c r="E17" s="1488"/>
    </row>
    <row r="18" spans="1:5" ht="15.6">
      <c r="A18" s="1488"/>
      <c r="B18" s="3470"/>
      <c r="C18" s="1492" t="s">
        <v>912</v>
      </c>
      <c r="D18" s="857" t="str">
        <f>结果表!H110</f>
        <v>——</v>
      </c>
      <c r="E18" s="1488"/>
    </row>
    <row r="19" spans="1:5" ht="15.6">
      <c r="A19" s="1488"/>
      <c r="B19" s="3461" t="str">
        <f>结果表!E111</f>
        <v>——</v>
      </c>
      <c r="C19" s="1496" t="s">
        <v>910</v>
      </c>
      <c r="D19" s="849" t="str">
        <f>结果表!H111</f>
        <v>——</v>
      </c>
      <c r="E19" s="1488"/>
    </row>
    <row r="20" spans="1:5" ht="15.6">
      <c r="A20" s="1488"/>
      <c r="B20" s="3462"/>
      <c r="C20" s="1491" t="s">
        <v>923</v>
      </c>
      <c r="D20" s="848" t="e">
        <f>NUMBERSTRING(INT(D19*10000),2)&amp;"元整"</f>
        <v>#VALUE!</v>
      </c>
      <c r="E20" s="1488"/>
    </row>
    <row r="21" spans="1:5" ht="16.2" thickBot="1">
      <c r="A21" s="1488"/>
      <c r="B21" s="3463"/>
      <c r="C21" s="1498" t="s">
        <v>921</v>
      </c>
      <c r="D21" s="858" t="str">
        <f>结果表!H112</f>
        <v>——</v>
      </c>
      <c r="E21" s="1488"/>
    </row>
    <row r="22" spans="1:5" ht="14.4" thickTop="1">
      <c r="A22" s="1488"/>
      <c r="B22" s="1499" t="s">
        <v>924</v>
      </c>
      <c r="C22" s="1488"/>
      <c r="D22" s="1488"/>
      <c r="E22" s="1488"/>
    </row>
    <row r="23" spans="1:5">
      <c r="A23" s="1488"/>
      <c r="B23" s="1488"/>
      <c r="C23" s="1488"/>
      <c r="D23" s="1488"/>
      <c r="E23" s="1488"/>
    </row>
    <row r="24" spans="1:5" ht="17.399999999999999">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E1" workbookViewId="0">
      <selection activeCell="E1" sqref="A1:XFD1048576"/>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781" t="s">
        <v>2848</v>
      </c>
      <c r="B1" s="3781"/>
      <c r="C1" s="3781"/>
      <c r="D1" s="3781"/>
      <c r="E1" s="3781"/>
      <c r="F1" s="3781"/>
      <c r="G1" s="3782"/>
      <c r="I1" s="3221" t="s">
        <v>2849</v>
      </c>
      <c r="J1" s="3222" t="s">
        <v>2850</v>
      </c>
      <c r="K1" s="3222" t="s">
        <v>2851</v>
      </c>
      <c r="L1" s="3222" t="s">
        <v>2852</v>
      </c>
      <c r="M1" s="3222" t="s">
        <v>2853</v>
      </c>
      <c r="N1" s="3222" t="s">
        <v>2854</v>
      </c>
      <c r="O1" s="3222" t="s">
        <v>2855</v>
      </c>
      <c r="P1" s="3222" t="s">
        <v>2856</v>
      </c>
      <c r="Q1" s="3222" t="s">
        <v>2857</v>
      </c>
      <c r="R1" s="3222" t="s">
        <v>2858</v>
      </c>
      <c r="S1" s="3222" t="s">
        <v>2859</v>
      </c>
      <c r="T1" s="3223" t="s">
        <v>2860</v>
      </c>
    </row>
    <row r="2" spans="1:20" ht="11.4" thickBot="1">
      <c r="A2" s="3225" t="s">
        <v>2861</v>
      </c>
      <c r="B2" s="3225"/>
      <c r="C2" s="3225"/>
      <c r="D2" s="3225"/>
      <c r="E2" s="3225"/>
      <c r="F2" s="3225"/>
      <c r="G2" s="3226" t="s">
        <v>2862</v>
      </c>
      <c r="I2" s="3227" t="s">
        <v>2863</v>
      </c>
      <c r="J2" s="3227" t="s">
        <v>2864</v>
      </c>
      <c r="K2" s="3227" t="s">
        <v>2865</v>
      </c>
      <c r="L2" s="3227" t="s">
        <v>2866</v>
      </c>
      <c r="M2" s="3227" t="s">
        <v>2867</v>
      </c>
      <c r="N2" s="3227" t="s">
        <v>2868</v>
      </c>
      <c r="O2" s="3227" t="s">
        <v>2869</v>
      </c>
      <c r="P2" s="3227" t="s">
        <v>2870</v>
      </c>
      <c r="Q2" s="3227" t="s">
        <v>2871</v>
      </c>
      <c r="R2" s="3227" t="s">
        <v>2872</v>
      </c>
      <c r="S2" s="3227" t="s">
        <v>2873</v>
      </c>
      <c r="T2" s="3227" t="s">
        <v>2874</v>
      </c>
    </row>
    <row r="3" spans="1:20" s="3233" customFormat="1">
      <c r="A3" s="3779" t="s">
        <v>2875</v>
      </c>
      <c r="B3" s="3228"/>
      <c r="C3" s="3229" t="s">
        <v>2814</v>
      </c>
      <c r="D3" s="3229" t="s">
        <v>2876</v>
      </c>
      <c r="E3" s="3229" t="s">
        <v>2816</v>
      </c>
      <c r="F3" s="3229" t="s">
        <v>2877</v>
      </c>
      <c r="G3" s="3229" t="s">
        <v>2634</v>
      </c>
      <c r="H3" s="3230"/>
      <c r="I3" s="3231" t="s">
        <v>2878</v>
      </c>
      <c r="J3" s="3232" t="s">
        <v>128</v>
      </c>
      <c r="K3" s="3232" t="s">
        <v>129</v>
      </c>
      <c r="L3" s="3231" t="s">
        <v>130</v>
      </c>
      <c r="M3" s="3231" t="s">
        <v>131</v>
      </c>
      <c r="N3" s="3231" t="s">
        <v>132</v>
      </c>
      <c r="O3" s="3231" t="s">
        <v>133</v>
      </c>
      <c r="P3" s="3231" t="s">
        <v>134</v>
      </c>
      <c r="Q3" s="3231" t="s">
        <v>135</v>
      </c>
      <c r="R3" s="3231" t="s">
        <v>136</v>
      </c>
      <c r="S3" s="3231" t="s">
        <v>2879</v>
      </c>
      <c r="T3" s="3231" t="s">
        <v>2880</v>
      </c>
    </row>
    <row r="4" spans="1:20" s="3233" customFormat="1" ht="11.4" thickBot="1">
      <c r="A4" s="3780"/>
      <c r="B4" s="3234" t="s">
        <v>2881</v>
      </c>
      <c r="C4" s="3234" t="s">
        <v>2882</v>
      </c>
      <c r="D4" s="3234" t="s">
        <v>2882</v>
      </c>
      <c r="E4" s="3234" t="s">
        <v>2882</v>
      </c>
      <c r="F4" s="3235" t="s">
        <v>2882</v>
      </c>
      <c r="G4" s="3235" t="s">
        <v>2882</v>
      </c>
      <c r="H4" s="3230"/>
      <c r="I4" s="3232" t="s">
        <v>137</v>
      </c>
      <c r="J4" s="3232" t="s">
        <v>111</v>
      </c>
      <c r="K4" s="3232" t="s">
        <v>138</v>
      </c>
      <c r="L4" s="3231" t="s">
        <v>139</v>
      </c>
      <c r="M4" s="3231" t="s">
        <v>140</v>
      </c>
      <c r="N4" s="3231" t="s">
        <v>141</v>
      </c>
      <c r="O4" s="3231" t="s">
        <v>142</v>
      </c>
      <c r="P4" s="3231" t="s">
        <v>143</v>
      </c>
      <c r="Q4" s="3231" t="s">
        <v>2883</v>
      </c>
      <c r="R4" s="3231" t="s">
        <v>2884</v>
      </c>
      <c r="S4" s="3231" t="s">
        <v>2885</v>
      </c>
      <c r="T4" s="3231" t="s">
        <v>2886</v>
      </c>
    </row>
    <row r="5" spans="1:20">
      <c r="A5" s="3236" t="s">
        <v>2849</v>
      </c>
      <c r="B5" s="3227" t="s">
        <v>2863</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2887</v>
      </c>
      <c r="R5" s="3231" t="s">
        <v>2888</v>
      </c>
      <c r="S5" s="3231" t="s">
        <v>153</v>
      </c>
      <c r="T5" s="3231" t="s">
        <v>2889</v>
      </c>
    </row>
    <row r="6" spans="1:20" ht="11.4" thickBot="1">
      <c r="A6" s="3231" t="s">
        <v>144</v>
      </c>
      <c r="B6" s="3231" t="s">
        <v>2878</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2890</v>
      </c>
      <c r="Q6" s="3231" t="s">
        <v>2891</v>
      </c>
      <c r="R6" s="3231" t="s">
        <v>161</v>
      </c>
      <c r="S6" s="3231" t="s">
        <v>2892</v>
      </c>
      <c r="T6" s="3231" t="s">
        <v>2893</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2894</v>
      </c>
      <c r="Q7" s="3231" t="s">
        <v>2895</v>
      </c>
      <c r="R7" s="3231" t="s">
        <v>2896</v>
      </c>
      <c r="S7" s="3231" t="s">
        <v>2897</v>
      </c>
      <c r="T7" s="3231" t="s">
        <v>2898</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2899</v>
      </c>
      <c r="Q8" s="3231" t="s">
        <v>174</v>
      </c>
      <c r="R8" s="3231" t="s">
        <v>2900</v>
      </c>
      <c r="S8" s="3231" t="s">
        <v>2901</v>
      </c>
      <c r="T8" s="3238" t="s">
        <v>2902</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2903</v>
      </c>
      <c r="Q9" s="3231" t="s">
        <v>182</v>
      </c>
      <c r="R9" s="3231" t="s">
        <v>183</v>
      </c>
      <c r="S9" s="3231" t="s">
        <v>200</v>
      </c>
    </row>
    <row r="10" spans="1:20">
      <c r="A10" s="3236" t="s">
        <v>184</v>
      </c>
      <c r="B10" s="3227" t="s">
        <v>2864</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2904</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2905</v>
      </c>
      <c r="P11" s="3231" t="s">
        <v>191</v>
      </c>
      <c r="Q11" s="3231" t="s">
        <v>199</v>
      </c>
      <c r="R11" s="3231" t="s">
        <v>2906</v>
      </c>
      <c r="S11" s="3231" t="s">
        <v>2907</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2908</v>
      </c>
      <c r="P12" s="3231" t="s">
        <v>2909</v>
      </c>
      <c r="Q12" s="3231" t="s">
        <v>2910</v>
      </c>
      <c r="R12" s="3231" t="s">
        <v>2911</v>
      </c>
      <c r="S12" s="3231" t="s">
        <v>2912</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2913</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2914</v>
      </c>
      <c r="K14" s="3232" t="s">
        <v>215</v>
      </c>
      <c r="L14" s="3231" t="s">
        <v>216</v>
      </c>
      <c r="M14" s="3231" t="s">
        <v>217</v>
      </c>
      <c r="N14" s="3231" t="s">
        <v>218</v>
      </c>
      <c r="O14" s="3231" t="s">
        <v>240</v>
      </c>
      <c r="P14" s="3231" t="s">
        <v>213</v>
      </c>
      <c r="Q14" s="3231" t="s">
        <v>2915</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2916</v>
      </c>
      <c r="P15" s="3231" t="s">
        <v>2917</v>
      </c>
      <c r="Q15" s="3231" t="s">
        <v>242</v>
      </c>
      <c r="R15" s="3231" t="s">
        <v>2918</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2919</v>
      </c>
      <c r="P16" s="3231" t="s">
        <v>227</v>
      </c>
      <c r="Q16" s="3231" t="s">
        <v>250</v>
      </c>
      <c r="R16" s="3231" t="s">
        <v>207</v>
      </c>
      <c r="S16" s="3231" t="s">
        <v>2920</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2921</v>
      </c>
      <c r="P17" s="3231" t="s">
        <v>2922</v>
      </c>
      <c r="Q17" s="3231" t="s">
        <v>256</v>
      </c>
      <c r="R17" s="3231" t="s">
        <v>2923</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2924</v>
      </c>
      <c r="P18" s="3231" t="s">
        <v>241</v>
      </c>
      <c r="Q18" s="3231" t="s">
        <v>2925</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2926</v>
      </c>
      <c r="P19" s="3231" t="s">
        <v>249</v>
      </c>
      <c r="Q19" s="3231" t="s">
        <v>2927</v>
      </c>
      <c r="R19" s="3231" t="s">
        <v>265</v>
      </c>
      <c r="S19" s="3231" t="s">
        <v>2928</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2929</v>
      </c>
      <c r="P20" s="3231" t="s">
        <v>2930</v>
      </c>
      <c r="Q20" s="3231" t="s">
        <v>290</v>
      </c>
      <c r="R20" s="3231" t="s">
        <v>2931</v>
      </c>
      <c r="S20" s="3231" t="s">
        <v>277</v>
      </c>
    </row>
    <row r="21" spans="1:19" ht="14.25" customHeight="1" thickBot="1">
      <c r="A21" s="3231" t="s">
        <v>184</v>
      </c>
      <c r="B21" s="3232" t="s">
        <v>208</v>
      </c>
      <c r="C21" s="3231">
        <v>32370</v>
      </c>
      <c r="D21" s="3231">
        <v>26730</v>
      </c>
      <c r="E21" s="3231">
        <v>26640</v>
      </c>
      <c r="F21" s="3231"/>
      <c r="G21" s="3231">
        <v>19440</v>
      </c>
      <c r="J21" s="3238" t="s">
        <v>2932</v>
      </c>
      <c r="K21" s="3232" t="s">
        <v>267</v>
      </c>
      <c r="L21" s="3231" t="s">
        <v>268</v>
      </c>
      <c r="M21" s="3231" t="s">
        <v>269</v>
      </c>
      <c r="N21" s="3231" t="s">
        <v>270</v>
      </c>
      <c r="O21" s="3231" t="s">
        <v>264</v>
      </c>
      <c r="P21" s="3231" t="s">
        <v>283</v>
      </c>
      <c r="Q21" s="3231" t="s">
        <v>293</v>
      </c>
      <c r="R21" s="3231" t="s">
        <v>2933</v>
      </c>
      <c r="S21" s="3238" t="s">
        <v>2934</v>
      </c>
    </row>
    <row r="22" spans="1:19" ht="14.25" customHeight="1">
      <c r="A22" s="3231" t="s">
        <v>184</v>
      </c>
      <c r="B22" s="3232" t="s">
        <v>2914</v>
      </c>
      <c r="C22" s="3231">
        <v>29830</v>
      </c>
      <c r="D22" s="3231">
        <v>27600</v>
      </c>
      <c r="E22" s="3231">
        <v>28150</v>
      </c>
      <c r="F22" s="3231"/>
      <c r="G22" s="3231">
        <v>20080</v>
      </c>
      <c r="K22" s="3232" t="s">
        <v>2935</v>
      </c>
      <c r="L22" s="3231" t="s">
        <v>272</v>
      </c>
      <c r="M22" s="3231" t="s">
        <v>273</v>
      </c>
      <c r="N22" s="3231" t="s">
        <v>274</v>
      </c>
      <c r="O22" s="3231" t="s">
        <v>2936</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2937</v>
      </c>
      <c r="L23" s="3231" t="s">
        <v>278</v>
      </c>
      <c r="M23" s="3231" t="s">
        <v>279</v>
      </c>
      <c r="N23" s="3231" t="s">
        <v>2938</v>
      </c>
      <c r="O23" s="3231" t="s">
        <v>2939</v>
      </c>
      <c r="P23" s="3231" t="s">
        <v>289</v>
      </c>
      <c r="Q23" s="3231" t="s">
        <v>298</v>
      </c>
      <c r="R23" s="3231" t="s">
        <v>2940</v>
      </c>
    </row>
    <row r="24" spans="1:19" ht="14.25" customHeight="1">
      <c r="A24" s="3231" t="s">
        <v>184</v>
      </c>
      <c r="B24" s="3232" t="s">
        <v>230</v>
      </c>
      <c r="C24" s="3231">
        <v>27930</v>
      </c>
      <c r="D24" s="3231">
        <v>32260</v>
      </c>
      <c r="E24" s="3231">
        <v>32120</v>
      </c>
      <c r="F24" s="3231"/>
      <c r="G24" s="3231">
        <v>23470</v>
      </c>
      <c r="K24" s="3232" t="s">
        <v>2941</v>
      </c>
      <c r="L24" s="3231" t="s">
        <v>281</v>
      </c>
      <c r="M24" s="3231" t="s">
        <v>282</v>
      </c>
      <c r="N24" s="3231" t="s">
        <v>2942</v>
      </c>
      <c r="O24" s="3231" t="s">
        <v>285</v>
      </c>
      <c r="P24" s="3231" t="s">
        <v>2943</v>
      </c>
      <c r="Q24" s="3240" t="s">
        <v>2944</v>
      </c>
      <c r="R24" s="3231" t="s">
        <v>2945</v>
      </c>
    </row>
    <row r="25" spans="1:19" ht="14.25" customHeight="1">
      <c r="A25" s="3231" t="s">
        <v>184</v>
      </c>
      <c r="B25" s="3232" t="s">
        <v>235</v>
      </c>
      <c r="C25" s="3231">
        <v>32230</v>
      </c>
      <c r="D25" s="3231">
        <v>29640</v>
      </c>
      <c r="E25" s="3231">
        <v>29510</v>
      </c>
      <c r="F25" s="3231"/>
      <c r="G25" s="3231">
        <v>21560</v>
      </c>
      <c r="K25" s="3232" t="s">
        <v>2946</v>
      </c>
      <c r="L25" s="3231" t="s">
        <v>2947</v>
      </c>
      <c r="M25" s="3231" t="s">
        <v>284</v>
      </c>
      <c r="N25" s="3231" t="s">
        <v>292</v>
      </c>
      <c r="O25" s="3231" t="s">
        <v>288</v>
      </c>
      <c r="P25" s="3231" t="s">
        <v>275</v>
      </c>
      <c r="Q25" s="3240" t="s">
        <v>271</v>
      </c>
      <c r="R25" s="3231" t="s">
        <v>2948</v>
      </c>
    </row>
    <row r="26" spans="1:19" ht="14.25" customHeight="1" thickBot="1">
      <c r="A26" s="3231" t="s">
        <v>184</v>
      </c>
      <c r="B26" s="3232" t="s">
        <v>244</v>
      </c>
      <c r="C26" s="3231">
        <v>31690</v>
      </c>
      <c r="D26" s="3231">
        <v>27650</v>
      </c>
      <c r="E26" s="3231">
        <v>28200</v>
      </c>
      <c r="F26" s="3231"/>
      <c r="G26" s="3231">
        <v>20110</v>
      </c>
      <c r="K26" s="3237" t="s">
        <v>2949</v>
      </c>
      <c r="L26" s="3231" t="s">
        <v>2950</v>
      </c>
      <c r="M26" s="3231" t="s">
        <v>287</v>
      </c>
      <c r="N26" s="3231" t="s">
        <v>294</v>
      </c>
      <c r="O26" s="3231" t="s">
        <v>2951</v>
      </c>
      <c r="P26" s="3231" t="s">
        <v>2952</v>
      </c>
      <c r="Q26" s="3240" t="s">
        <v>276</v>
      </c>
      <c r="R26" s="3231" t="s">
        <v>2953</v>
      </c>
    </row>
    <row r="27" spans="1:19" ht="14.25" customHeight="1">
      <c r="A27" s="3231" t="s">
        <v>184</v>
      </c>
      <c r="B27" s="3232" t="s">
        <v>251</v>
      </c>
      <c r="C27" s="3231">
        <v>29610</v>
      </c>
      <c r="D27" s="3231">
        <v>27770</v>
      </c>
      <c r="E27" s="3231">
        <v>28300</v>
      </c>
      <c r="F27" s="3231"/>
      <c r="G27" s="3231">
        <v>20210</v>
      </c>
      <c r="L27" s="3231" t="s">
        <v>2954</v>
      </c>
      <c r="M27" s="3231" t="s">
        <v>291</v>
      </c>
      <c r="N27" s="3231" t="s">
        <v>297</v>
      </c>
      <c r="O27" s="3231" t="s">
        <v>2955</v>
      </c>
      <c r="P27" s="3231" t="s">
        <v>2956</v>
      </c>
      <c r="Q27" s="3231" t="s">
        <v>2957</v>
      </c>
      <c r="R27" s="3231" t="s">
        <v>2958</v>
      </c>
    </row>
    <row r="28" spans="1:19" ht="14.25" customHeight="1">
      <c r="A28" s="3231" t="s">
        <v>184</v>
      </c>
      <c r="B28" s="3232" t="s">
        <v>259</v>
      </c>
      <c r="C28" s="3231"/>
      <c r="D28" s="3231">
        <v>31520</v>
      </c>
      <c r="E28" s="3231">
        <v>31410</v>
      </c>
      <c r="F28" s="3231"/>
      <c r="G28" s="3231">
        <v>22940</v>
      </c>
      <c r="L28" s="3231" t="s">
        <v>2959</v>
      </c>
      <c r="M28" s="3231" t="s">
        <v>2960</v>
      </c>
      <c r="N28" s="3231" t="s">
        <v>2961</v>
      </c>
      <c r="O28" s="3231" t="s">
        <v>2962</v>
      </c>
      <c r="P28" s="3231" t="s">
        <v>2963</v>
      </c>
      <c r="Q28" s="3231" t="s">
        <v>2964</v>
      </c>
      <c r="R28" s="3231" t="s">
        <v>2965</v>
      </c>
    </row>
    <row r="29" spans="1:19" ht="14.25" customHeight="1" thickBot="1">
      <c r="A29" s="3239" t="s">
        <v>184</v>
      </c>
      <c r="B29" s="3241" t="s">
        <v>2932</v>
      </c>
      <c r="C29" s="3242"/>
      <c r="D29" s="3242">
        <v>29460</v>
      </c>
      <c r="E29" s="3242">
        <v>28640</v>
      </c>
      <c r="F29" s="3242"/>
      <c r="G29" s="3242">
        <v>21430</v>
      </c>
      <c r="L29" s="3231" t="s">
        <v>2966</v>
      </c>
      <c r="M29" s="3231" t="s">
        <v>2967</v>
      </c>
      <c r="N29" s="3231" t="s">
        <v>2968</v>
      </c>
      <c r="O29" s="3231" t="s">
        <v>2969</v>
      </c>
      <c r="P29" s="3231" t="s">
        <v>2970</v>
      </c>
      <c r="Q29" s="3231" t="s">
        <v>2971</v>
      </c>
      <c r="R29" s="3231" t="s">
        <v>280</v>
      </c>
    </row>
    <row r="30" spans="1:19" ht="14.25" customHeight="1">
      <c r="A30" s="3236" t="s">
        <v>296</v>
      </c>
      <c r="B30" s="3227" t="s">
        <v>2865</v>
      </c>
      <c r="C30" s="3227">
        <v>26890</v>
      </c>
      <c r="D30" s="3227">
        <v>26770</v>
      </c>
      <c r="E30" s="3227">
        <v>25700</v>
      </c>
      <c r="F30" s="3227">
        <v>8180</v>
      </c>
      <c r="G30" s="3243">
        <v>18740</v>
      </c>
      <c r="L30" s="3231" t="s">
        <v>2972</v>
      </c>
      <c r="M30" s="3231" t="s">
        <v>2973</v>
      </c>
      <c r="N30" s="3231" t="s">
        <v>2974</v>
      </c>
      <c r="O30" s="3231" t="s">
        <v>2975</v>
      </c>
      <c r="P30" s="3231" t="s">
        <v>2976</v>
      </c>
      <c r="Q30" s="3231" t="s">
        <v>2977</v>
      </c>
      <c r="R30" s="3231" t="s">
        <v>2978</v>
      </c>
    </row>
    <row r="31" spans="1:19" ht="14.25" customHeight="1">
      <c r="A31" s="3231" t="s">
        <v>296</v>
      </c>
      <c r="B31" s="3232" t="s">
        <v>129</v>
      </c>
      <c r="C31" s="3231">
        <v>24550</v>
      </c>
      <c r="D31" s="3231">
        <v>23990</v>
      </c>
      <c r="E31" s="3231">
        <v>22930</v>
      </c>
      <c r="F31" s="3231">
        <v>7470</v>
      </c>
      <c r="G31" s="3244">
        <v>16790</v>
      </c>
      <c r="L31" s="3231" t="s">
        <v>2979</v>
      </c>
      <c r="M31" s="3231" t="s">
        <v>2980</v>
      </c>
      <c r="N31" s="3231" t="s">
        <v>2981</v>
      </c>
      <c r="O31" s="3231" t="s">
        <v>2982</v>
      </c>
      <c r="P31" s="3231" t="s">
        <v>2983</v>
      </c>
      <c r="Q31" s="3231" t="s">
        <v>2984</v>
      </c>
      <c r="R31" s="3231" t="s">
        <v>2985</v>
      </c>
    </row>
    <row r="32" spans="1:19" ht="14.25" customHeight="1" thickBot="1">
      <c r="A32" s="3231" t="s">
        <v>296</v>
      </c>
      <c r="B32" s="3232" t="s">
        <v>138</v>
      </c>
      <c r="C32" s="3231">
        <v>27210</v>
      </c>
      <c r="D32" s="3231">
        <v>23240</v>
      </c>
      <c r="E32" s="3231">
        <v>23260</v>
      </c>
      <c r="F32" s="3231">
        <v>7130</v>
      </c>
      <c r="G32" s="3244">
        <v>16270</v>
      </c>
      <c r="L32" s="3231" t="s">
        <v>2986</v>
      </c>
      <c r="M32" s="3231" t="s">
        <v>2987</v>
      </c>
      <c r="N32" s="3231" t="s">
        <v>300</v>
      </c>
      <c r="O32" s="3231" t="s">
        <v>2988</v>
      </c>
      <c r="P32" s="3231" t="s">
        <v>299</v>
      </c>
      <c r="Q32" s="3231" t="s">
        <v>2989</v>
      </c>
      <c r="R32" s="3238" t="s">
        <v>2990</v>
      </c>
    </row>
    <row r="33" spans="1:17" ht="14.25" customHeight="1" thickBot="1">
      <c r="A33" s="3231" t="s">
        <v>296</v>
      </c>
      <c r="B33" s="3232" t="s">
        <v>147</v>
      </c>
      <c r="C33" s="3231">
        <v>27300</v>
      </c>
      <c r="D33" s="3231">
        <v>22980</v>
      </c>
      <c r="E33" s="3231">
        <v>24260</v>
      </c>
      <c r="F33" s="3231">
        <v>5860</v>
      </c>
      <c r="G33" s="3244">
        <v>16090</v>
      </c>
      <c r="L33" s="3238" t="s">
        <v>2991</v>
      </c>
      <c r="M33" s="3231" t="s">
        <v>2992</v>
      </c>
      <c r="N33" s="3231" t="s">
        <v>301</v>
      </c>
      <c r="O33" s="3231" t="s">
        <v>2993</v>
      </c>
      <c r="P33" s="3231" t="s">
        <v>2994</v>
      </c>
      <c r="Q33" s="3231" t="s">
        <v>2995</v>
      </c>
    </row>
    <row r="34" spans="1:17" ht="14.25" customHeight="1">
      <c r="A34" s="3231" t="s">
        <v>296</v>
      </c>
      <c r="B34" s="3232" t="s">
        <v>156</v>
      </c>
      <c r="C34" s="3231">
        <v>23090</v>
      </c>
      <c r="D34" s="3231">
        <v>23390</v>
      </c>
      <c r="E34" s="3231">
        <v>23510</v>
      </c>
      <c r="F34" s="3231">
        <v>6700</v>
      </c>
      <c r="G34" s="3244">
        <v>16370</v>
      </c>
      <c r="M34" s="3231" t="s">
        <v>2996</v>
      </c>
      <c r="N34" s="3231" t="s">
        <v>302</v>
      </c>
      <c r="O34" s="3231" t="s">
        <v>2997</v>
      </c>
      <c r="P34" s="3231" t="s">
        <v>2998</v>
      </c>
      <c r="Q34" s="3231" t="s">
        <v>2999</v>
      </c>
    </row>
    <row r="35" spans="1:17" ht="14.25" customHeight="1">
      <c r="A35" s="3231" t="s">
        <v>296</v>
      </c>
      <c r="B35" s="3232" t="s">
        <v>163</v>
      </c>
      <c r="C35" s="3231">
        <v>27270</v>
      </c>
      <c r="D35" s="3231">
        <v>24270</v>
      </c>
      <c r="E35" s="3231">
        <v>24950</v>
      </c>
      <c r="F35" s="3231">
        <v>6600</v>
      </c>
      <c r="G35" s="3244">
        <v>16990</v>
      </c>
      <c r="M35" s="3231" t="s">
        <v>3000</v>
      </c>
      <c r="N35" s="3231" t="s">
        <v>3001</v>
      </c>
      <c r="O35" s="3231" t="s">
        <v>3002</v>
      </c>
      <c r="P35" s="3231" t="s">
        <v>3003</v>
      </c>
      <c r="Q35" s="3231" t="s">
        <v>3004</v>
      </c>
    </row>
    <row r="36" spans="1:17" ht="14.25" customHeight="1">
      <c r="A36" s="3231" t="s">
        <v>296</v>
      </c>
      <c r="B36" s="3232" t="s">
        <v>169</v>
      </c>
      <c r="C36" s="3231">
        <v>23490</v>
      </c>
      <c r="D36" s="3231">
        <v>23020</v>
      </c>
      <c r="E36" s="3231">
        <v>25230</v>
      </c>
      <c r="F36" s="3231">
        <v>6780</v>
      </c>
      <c r="G36" s="3244">
        <v>16120</v>
      </c>
      <c r="M36" s="3231" t="s">
        <v>3005</v>
      </c>
      <c r="N36" s="3231" t="s">
        <v>3006</v>
      </c>
      <c r="O36" s="3231" t="s">
        <v>3007</v>
      </c>
      <c r="P36" s="3231" t="s">
        <v>3008</v>
      </c>
      <c r="Q36" s="3231" t="s">
        <v>3009</v>
      </c>
    </row>
    <row r="37" spans="1:17" ht="14.25" customHeight="1">
      <c r="A37" s="3231" t="s">
        <v>296</v>
      </c>
      <c r="B37" s="3232" t="s">
        <v>176</v>
      </c>
      <c r="C37" s="3231">
        <v>24380</v>
      </c>
      <c r="D37" s="3231">
        <v>22240</v>
      </c>
      <c r="E37" s="3231">
        <v>25980</v>
      </c>
      <c r="F37" s="3231">
        <v>8160</v>
      </c>
      <c r="G37" s="3244">
        <v>15570</v>
      </c>
      <c r="M37" s="3231" t="s">
        <v>3010</v>
      </c>
      <c r="N37" s="3231" t="s">
        <v>3011</v>
      </c>
      <c r="O37" s="3231" t="s">
        <v>3012</v>
      </c>
      <c r="P37" s="3231" t="s">
        <v>3013</v>
      </c>
      <c r="Q37" s="3231" t="s">
        <v>3014</v>
      </c>
    </row>
    <row r="38" spans="1:17" ht="14.25" customHeight="1">
      <c r="A38" s="3231" t="s">
        <v>296</v>
      </c>
      <c r="B38" s="3232" t="s">
        <v>186</v>
      </c>
      <c r="C38" s="3231">
        <v>23120</v>
      </c>
      <c r="D38" s="3231">
        <v>24630</v>
      </c>
      <c r="E38" s="3231">
        <v>25030</v>
      </c>
      <c r="F38" s="3231">
        <v>7710</v>
      </c>
      <c r="G38" s="3244">
        <v>17240</v>
      </c>
      <c r="M38" s="3231" t="s">
        <v>3015</v>
      </c>
      <c r="N38" s="3231" t="s">
        <v>3016</v>
      </c>
      <c r="O38" s="3231" t="s">
        <v>3017</v>
      </c>
      <c r="P38" s="3231" t="s">
        <v>3018</v>
      </c>
      <c r="Q38" s="3231" t="s">
        <v>3019</v>
      </c>
    </row>
    <row r="39" spans="1:17" ht="14.25" customHeight="1">
      <c r="A39" s="3231" t="s">
        <v>296</v>
      </c>
      <c r="B39" s="3232" t="s">
        <v>195</v>
      </c>
      <c r="C39" s="3231">
        <v>22330</v>
      </c>
      <c r="D39" s="3231">
        <v>21140</v>
      </c>
      <c r="E39" s="3231">
        <v>23970</v>
      </c>
      <c r="F39" s="3231">
        <v>7940</v>
      </c>
      <c r="G39" s="3244">
        <v>14790</v>
      </c>
      <c r="M39" s="3231" t="s">
        <v>3020</v>
      </c>
      <c r="N39" s="3231" t="s">
        <v>3021</v>
      </c>
      <c r="O39" s="3231" t="s">
        <v>3022</v>
      </c>
      <c r="P39" s="3231" t="s">
        <v>3023</v>
      </c>
      <c r="Q39" s="3231" t="s">
        <v>3024</v>
      </c>
    </row>
    <row r="40" spans="1:17" ht="14.25" customHeight="1">
      <c r="A40" s="3231" t="s">
        <v>296</v>
      </c>
      <c r="B40" s="3232" t="s">
        <v>202</v>
      </c>
      <c r="C40" s="3231">
        <v>24740</v>
      </c>
      <c r="D40" s="3231">
        <v>24690</v>
      </c>
      <c r="E40" s="3231">
        <v>22610</v>
      </c>
      <c r="F40" s="3231"/>
      <c r="G40" s="3244">
        <v>17280</v>
      </c>
      <c r="M40" s="3231" t="s">
        <v>3025</v>
      </c>
      <c r="N40" s="3231" t="s">
        <v>3026</v>
      </c>
      <c r="O40" s="3231" t="s">
        <v>3027</v>
      </c>
      <c r="P40" s="3231" t="s">
        <v>3028</v>
      </c>
      <c r="Q40" s="3231" t="s">
        <v>3029</v>
      </c>
    </row>
    <row r="41" spans="1:17" ht="14.25" customHeight="1" thickBot="1">
      <c r="A41" s="3231" t="s">
        <v>296</v>
      </c>
      <c r="B41" s="3232" t="s">
        <v>209</v>
      </c>
      <c r="C41" s="3231">
        <v>21220</v>
      </c>
      <c r="D41" s="3231">
        <v>21120</v>
      </c>
      <c r="E41" s="3231">
        <v>22590</v>
      </c>
      <c r="F41" s="3231"/>
      <c r="G41" s="3244">
        <v>14780</v>
      </c>
      <c r="M41" s="3238" t="s">
        <v>3030</v>
      </c>
      <c r="N41" s="3231" t="s">
        <v>3031</v>
      </c>
      <c r="O41" s="3231" t="s">
        <v>3032</v>
      </c>
      <c r="P41" s="3231" t="s">
        <v>3033</v>
      </c>
      <c r="Q41" s="3231" t="s">
        <v>3034</v>
      </c>
    </row>
    <row r="42" spans="1:17" ht="14.25" customHeight="1">
      <c r="A42" s="3231" t="s">
        <v>296</v>
      </c>
      <c r="B42" s="3232" t="s">
        <v>215</v>
      </c>
      <c r="C42" s="3231">
        <v>24800</v>
      </c>
      <c r="D42" s="3231">
        <v>22280</v>
      </c>
      <c r="E42" s="3231">
        <v>24350</v>
      </c>
      <c r="F42" s="3231"/>
      <c r="G42" s="3244">
        <v>15590</v>
      </c>
      <c r="N42" s="3231" t="s">
        <v>3035</v>
      </c>
      <c r="O42" s="3231" t="s">
        <v>3036</v>
      </c>
      <c r="P42" s="3231" t="s">
        <v>3037</v>
      </c>
      <c r="Q42" s="3231" t="s">
        <v>3038</v>
      </c>
    </row>
    <row r="43" spans="1:17" ht="14.25" customHeight="1">
      <c r="A43" s="3231" t="s">
        <v>3039</v>
      </c>
      <c r="B43" s="3232" t="s">
        <v>223</v>
      </c>
      <c r="C43" s="3231">
        <v>21210</v>
      </c>
      <c r="D43" s="3231">
        <v>21160</v>
      </c>
      <c r="E43" s="3231">
        <v>22650</v>
      </c>
      <c r="F43" s="3231"/>
      <c r="G43" s="3244">
        <v>14800</v>
      </c>
      <c r="N43" s="3231" t="s">
        <v>3040</v>
      </c>
      <c r="O43" s="3231" t="s">
        <v>3041</v>
      </c>
      <c r="P43" s="3231" t="s">
        <v>3042</v>
      </c>
      <c r="Q43" s="3231" t="s">
        <v>3043</v>
      </c>
    </row>
    <row r="44" spans="1:17" ht="14.25" customHeight="1" thickBot="1">
      <c r="A44" s="3231" t="s">
        <v>296</v>
      </c>
      <c r="B44" s="3232" t="s">
        <v>231</v>
      </c>
      <c r="C44" s="3231">
        <v>22370</v>
      </c>
      <c r="D44" s="3231">
        <v>23140</v>
      </c>
      <c r="E44" s="3231">
        <v>25090</v>
      </c>
      <c r="F44" s="3231"/>
      <c r="G44" s="3244">
        <v>16190</v>
      </c>
      <c r="N44" s="3231" t="s">
        <v>3044</v>
      </c>
      <c r="O44" s="3231" t="s">
        <v>3045</v>
      </c>
      <c r="P44" s="3238" t="s">
        <v>3046</v>
      </c>
      <c r="Q44" s="3231" t="s">
        <v>3047</v>
      </c>
    </row>
    <row r="45" spans="1:17" ht="14.25" customHeight="1" thickBot="1">
      <c r="A45" s="3231" t="s">
        <v>296</v>
      </c>
      <c r="B45" s="3232" t="s">
        <v>236</v>
      </c>
      <c r="C45" s="3231">
        <v>21240</v>
      </c>
      <c r="D45" s="3231">
        <v>27050</v>
      </c>
      <c r="E45" s="3231">
        <v>28000</v>
      </c>
      <c r="F45" s="3231"/>
      <c r="G45" s="3244">
        <v>18940</v>
      </c>
      <c r="N45" s="3231" t="s">
        <v>3048</v>
      </c>
      <c r="O45" s="3238" t="s">
        <v>3049</v>
      </c>
      <c r="Q45" s="3231" t="s">
        <v>3050</v>
      </c>
    </row>
    <row r="46" spans="1:17" ht="14.25" customHeight="1">
      <c r="A46" s="3231" t="s">
        <v>296</v>
      </c>
      <c r="B46" s="3232" t="s">
        <v>245</v>
      </c>
      <c r="C46" s="3231">
        <v>23240</v>
      </c>
      <c r="D46" s="3231">
        <v>23000</v>
      </c>
      <c r="E46" s="3231">
        <v>24980</v>
      </c>
      <c r="F46" s="3231"/>
      <c r="G46" s="3244">
        <v>16100</v>
      </c>
      <c r="N46" s="3231" t="s">
        <v>3051</v>
      </c>
      <c r="Q46" s="3231" t="s">
        <v>3052</v>
      </c>
    </row>
    <row r="47" spans="1:17" ht="14.25" customHeight="1">
      <c r="A47" s="3231" t="s">
        <v>296</v>
      </c>
      <c r="B47" s="3232" t="s">
        <v>252</v>
      </c>
      <c r="C47" s="3231">
        <v>27150</v>
      </c>
      <c r="D47" s="3231">
        <v>23310</v>
      </c>
      <c r="E47" s="3231">
        <v>25150</v>
      </c>
      <c r="F47" s="3231"/>
      <c r="G47" s="3244">
        <v>16310</v>
      </c>
      <c r="N47" s="3231" t="s">
        <v>3053</v>
      </c>
      <c r="Q47" s="3231" t="s">
        <v>3054</v>
      </c>
    </row>
    <row r="48" spans="1:17" ht="14.25" customHeight="1">
      <c r="A48" s="3231" t="s">
        <v>296</v>
      </c>
      <c r="B48" s="3232" t="s">
        <v>260</v>
      </c>
      <c r="C48" s="3231">
        <v>23100</v>
      </c>
      <c r="D48" s="3231">
        <v>21110</v>
      </c>
      <c r="E48" s="3231">
        <v>23080</v>
      </c>
      <c r="F48" s="3231"/>
      <c r="G48" s="3244">
        <v>14780</v>
      </c>
      <c r="N48" s="3231" t="s">
        <v>3055</v>
      </c>
      <c r="Q48" s="3231" t="s">
        <v>3056</v>
      </c>
    </row>
    <row r="49" spans="1:17" ht="14.25" customHeight="1">
      <c r="A49" s="3231" t="s">
        <v>296</v>
      </c>
      <c r="B49" s="3232" t="s">
        <v>267</v>
      </c>
      <c r="C49" s="3231">
        <v>23400</v>
      </c>
      <c r="D49" s="3231">
        <v>22920</v>
      </c>
      <c r="E49" s="3231">
        <v>24900</v>
      </c>
      <c r="F49" s="3231"/>
      <c r="G49" s="3244">
        <v>16040</v>
      </c>
      <c r="N49" s="3231" t="s">
        <v>3057</v>
      </c>
      <c r="Q49" s="3231" t="s">
        <v>3058</v>
      </c>
    </row>
    <row r="50" spans="1:17" ht="14.25" customHeight="1">
      <c r="A50" s="3231" t="s">
        <v>296</v>
      </c>
      <c r="B50" s="3232" t="s">
        <v>2935</v>
      </c>
      <c r="C50" s="3231">
        <v>21200</v>
      </c>
      <c r="D50" s="3231">
        <v>26540</v>
      </c>
      <c r="E50" s="3231">
        <v>23200</v>
      </c>
      <c r="F50" s="3231"/>
      <c r="G50" s="3244">
        <v>18580</v>
      </c>
      <c r="N50" s="3231" t="s">
        <v>3059</v>
      </c>
      <c r="Q50" s="3232" t="s">
        <v>3060</v>
      </c>
    </row>
    <row r="51" spans="1:17" ht="14.25" customHeight="1" thickBot="1">
      <c r="A51" s="3231" t="s">
        <v>296</v>
      </c>
      <c r="B51" s="3232" t="s">
        <v>2937</v>
      </c>
      <c r="C51" s="3231">
        <v>23000</v>
      </c>
      <c r="D51" s="3231">
        <v>23460</v>
      </c>
      <c r="E51" s="3231">
        <v>25290</v>
      </c>
      <c r="F51" s="3231"/>
      <c r="G51" s="3244">
        <v>16420</v>
      </c>
      <c r="N51" s="3231" t="s">
        <v>3061</v>
      </c>
      <c r="Q51" s="3238" t="s">
        <v>3062</v>
      </c>
    </row>
    <row r="52" spans="1:17" ht="14.25" customHeight="1">
      <c r="A52" s="3231" t="s">
        <v>296</v>
      </c>
      <c r="B52" s="3232" t="s">
        <v>2941</v>
      </c>
      <c r="C52" s="3231">
        <v>26660</v>
      </c>
      <c r="D52" s="3231">
        <v>22350</v>
      </c>
      <c r="E52" s="3231">
        <v>22920</v>
      </c>
      <c r="F52" s="3231"/>
      <c r="G52" s="3244">
        <v>15640</v>
      </c>
      <c r="N52" s="3231" t="s">
        <v>3063</v>
      </c>
    </row>
    <row r="53" spans="1:17" ht="14.25" customHeight="1">
      <c r="A53" s="3231" t="s">
        <v>296</v>
      </c>
      <c r="B53" s="3232" t="s">
        <v>2946</v>
      </c>
      <c r="C53" s="3231">
        <v>23580</v>
      </c>
      <c r="D53" s="3231"/>
      <c r="E53" s="3231">
        <v>24280</v>
      </c>
      <c r="F53" s="3231"/>
      <c r="G53" s="3244"/>
      <c r="N53" s="3231" t="s">
        <v>3064</v>
      </c>
    </row>
    <row r="54" spans="1:17" ht="14.25" customHeight="1" thickBot="1">
      <c r="A54" s="3245" t="s">
        <v>296</v>
      </c>
      <c r="B54" s="3237" t="s">
        <v>2949</v>
      </c>
      <c r="C54" s="3238">
        <v>22460</v>
      </c>
      <c r="D54" s="3238"/>
      <c r="E54" s="3238"/>
      <c r="F54" s="3238"/>
      <c r="G54" s="3246"/>
      <c r="N54" s="3231" t="s">
        <v>3065</v>
      </c>
    </row>
    <row r="55" spans="1:17" ht="14.25" customHeight="1">
      <c r="A55" s="3236" t="s">
        <v>110</v>
      </c>
      <c r="B55" s="3227" t="s">
        <v>3066</v>
      </c>
      <c r="C55" s="3231">
        <v>21970</v>
      </c>
      <c r="D55" s="3231">
        <v>20370</v>
      </c>
      <c r="E55" s="3231">
        <v>20180</v>
      </c>
      <c r="F55" s="3231">
        <v>5730</v>
      </c>
      <c r="G55" s="3231">
        <v>13820</v>
      </c>
      <c r="N55" s="3231" t="s">
        <v>3067</v>
      </c>
    </row>
    <row r="56" spans="1:17" ht="14.25" customHeight="1">
      <c r="A56" s="3231" t="s">
        <v>110</v>
      </c>
      <c r="B56" s="3231" t="s">
        <v>130</v>
      </c>
      <c r="C56" s="3231">
        <v>20470</v>
      </c>
      <c r="D56" s="3231">
        <v>20700</v>
      </c>
      <c r="E56" s="3231">
        <v>20380</v>
      </c>
      <c r="F56" s="3231">
        <v>4760</v>
      </c>
      <c r="G56" s="3231">
        <v>14050</v>
      </c>
      <c r="N56" s="3231" t="s">
        <v>3068</v>
      </c>
    </row>
    <row r="57" spans="1:17" ht="14.25" customHeight="1">
      <c r="A57" s="3231" t="s">
        <v>110</v>
      </c>
      <c r="B57" s="3231" t="s">
        <v>139</v>
      </c>
      <c r="C57" s="3231">
        <v>20790</v>
      </c>
      <c r="D57" s="3231">
        <v>21370</v>
      </c>
      <c r="E57" s="3231">
        <v>20890</v>
      </c>
      <c r="F57" s="3231">
        <v>4910</v>
      </c>
      <c r="G57" s="3231">
        <v>14510</v>
      </c>
      <c r="N57" s="3231" t="s">
        <v>3069</v>
      </c>
    </row>
    <row r="58" spans="1:17" ht="14.25" customHeight="1">
      <c r="A58" s="3231" t="s">
        <v>110</v>
      </c>
      <c r="B58" s="3231" t="s">
        <v>148</v>
      </c>
      <c r="C58" s="3231">
        <v>21460</v>
      </c>
      <c r="D58" s="3231">
        <v>20920</v>
      </c>
      <c r="E58" s="3231">
        <v>23410</v>
      </c>
      <c r="F58" s="3231">
        <v>5100</v>
      </c>
      <c r="G58" s="3231">
        <v>14200</v>
      </c>
      <c r="N58" s="3231" t="s">
        <v>3070</v>
      </c>
    </row>
    <row r="59" spans="1:17" ht="14.25" customHeight="1">
      <c r="A59" s="3231" t="s">
        <v>110</v>
      </c>
      <c r="B59" s="3231" t="s">
        <v>157</v>
      </c>
      <c r="C59" s="3231">
        <v>21000</v>
      </c>
      <c r="D59" s="3231">
        <v>21550</v>
      </c>
      <c r="E59" s="3231">
        <v>21150</v>
      </c>
      <c r="F59" s="3231">
        <v>5250</v>
      </c>
      <c r="G59" s="3231">
        <v>14630</v>
      </c>
      <c r="N59" s="3231" t="s">
        <v>3071</v>
      </c>
    </row>
    <row r="60" spans="1:17" ht="14.25" customHeight="1">
      <c r="A60" s="3231" t="s">
        <v>110</v>
      </c>
      <c r="B60" s="3231" t="s">
        <v>164</v>
      </c>
      <c r="C60" s="3231">
        <v>21640</v>
      </c>
      <c r="D60" s="3231">
        <v>21260</v>
      </c>
      <c r="E60" s="3231">
        <v>24040</v>
      </c>
      <c r="F60" s="3231">
        <v>4470</v>
      </c>
      <c r="G60" s="3231">
        <v>14430</v>
      </c>
      <c r="N60" s="3231" t="s">
        <v>3072</v>
      </c>
    </row>
    <row r="61" spans="1:17" ht="14.25" customHeight="1">
      <c r="A61" s="3231" t="s">
        <v>110</v>
      </c>
      <c r="B61" s="3231" t="s">
        <v>170</v>
      </c>
      <c r="C61" s="3231">
        <v>21330</v>
      </c>
      <c r="D61" s="3231">
        <v>18640</v>
      </c>
      <c r="E61" s="3231">
        <v>21190</v>
      </c>
      <c r="F61" s="3231">
        <v>4180</v>
      </c>
      <c r="G61" s="3231">
        <v>12650</v>
      </c>
      <c r="N61" s="3231" t="s">
        <v>3073</v>
      </c>
    </row>
    <row r="62" spans="1:17" ht="14.25" customHeight="1">
      <c r="A62" s="3231" t="s">
        <v>110</v>
      </c>
      <c r="B62" s="3231" t="s">
        <v>177</v>
      </c>
      <c r="C62" s="3231">
        <v>18710</v>
      </c>
      <c r="D62" s="3231">
        <v>19400</v>
      </c>
      <c r="E62" s="3231">
        <v>23750</v>
      </c>
      <c r="F62" s="3231">
        <v>4860</v>
      </c>
      <c r="G62" s="3231">
        <v>13170</v>
      </c>
      <c r="N62" s="3231" t="s">
        <v>3074</v>
      </c>
    </row>
    <row r="63" spans="1:17" ht="14.25" customHeight="1">
      <c r="A63" s="3231" t="s">
        <v>110</v>
      </c>
      <c r="B63" s="3231" t="s">
        <v>187</v>
      </c>
      <c r="C63" s="3231">
        <v>19480</v>
      </c>
      <c r="D63" s="3231">
        <v>16830</v>
      </c>
      <c r="E63" s="3231">
        <v>21590</v>
      </c>
      <c r="F63" s="3231">
        <v>4560</v>
      </c>
      <c r="G63" s="3231">
        <v>11420</v>
      </c>
      <c r="N63" s="3231" t="s">
        <v>3075</v>
      </c>
    </row>
    <row r="64" spans="1:17" ht="14.25" customHeight="1" thickBot="1">
      <c r="A64" s="3231" t="s">
        <v>110</v>
      </c>
      <c r="B64" s="3231" t="s">
        <v>196</v>
      </c>
      <c r="C64" s="3231">
        <v>16920</v>
      </c>
      <c r="D64" s="3231">
        <v>19190</v>
      </c>
      <c r="E64" s="3231">
        <v>22200</v>
      </c>
      <c r="F64" s="3231">
        <v>4390</v>
      </c>
      <c r="G64" s="3231">
        <v>13030</v>
      </c>
      <c r="N64" s="3238" t="s">
        <v>3076</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2947</v>
      </c>
      <c r="C78" s="3231">
        <v>19820</v>
      </c>
      <c r="D78" s="3231">
        <v>19780</v>
      </c>
      <c r="E78" s="3231">
        <v>18560</v>
      </c>
      <c r="F78" s="3231"/>
      <c r="G78" s="3231">
        <v>13430</v>
      </c>
    </row>
    <row r="79" spans="1:7" s="3220" customFormat="1" ht="14.25" customHeight="1">
      <c r="A79" s="3231" t="s">
        <v>110</v>
      </c>
      <c r="B79" s="3231" t="s">
        <v>2950</v>
      </c>
      <c r="C79" s="3231">
        <v>21660</v>
      </c>
      <c r="D79" s="3231">
        <v>18000</v>
      </c>
      <c r="E79" s="3231">
        <v>22570</v>
      </c>
      <c r="F79" s="3231"/>
      <c r="G79" s="3231">
        <v>12220</v>
      </c>
    </row>
    <row r="80" spans="1:7" s="3220" customFormat="1" ht="14.25" customHeight="1">
      <c r="A80" s="3231" t="s">
        <v>110</v>
      </c>
      <c r="B80" s="3231" t="s">
        <v>2954</v>
      </c>
      <c r="C80" s="3231">
        <v>19850</v>
      </c>
      <c r="D80" s="3231"/>
      <c r="E80" s="3231">
        <v>21700</v>
      </c>
      <c r="F80" s="3231"/>
      <c r="G80" s="3231"/>
    </row>
    <row r="81" spans="1:7" s="3220" customFormat="1" ht="14.25" customHeight="1">
      <c r="A81" s="3231" t="s">
        <v>110</v>
      </c>
      <c r="B81" s="3231" t="s">
        <v>2959</v>
      </c>
      <c r="C81" s="3231">
        <v>18080</v>
      </c>
      <c r="D81" s="3231"/>
      <c r="E81" s="3231">
        <v>20900</v>
      </c>
      <c r="F81" s="3231"/>
      <c r="G81" s="3231"/>
    </row>
    <row r="82" spans="1:7" s="3220" customFormat="1" ht="14.25" customHeight="1">
      <c r="A82" s="3231" t="s">
        <v>110</v>
      </c>
      <c r="B82" s="3231" t="s">
        <v>2966</v>
      </c>
      <c r="C82" s="3231"/>
      <c r="D82" s="3231"/>
      <c r="E82" s="3231">
        <v>20840</v>
      </c>
      <c r="F82" s="3231"/>
      <c r="G82" s="3231"/>
    </row>
    <row r="83" spans="1:7" s="3220" customFormat="1" ht="14.25" customHeight="1">
      <c r="A83" s="3231" t="s">
        <v>110</v>
      </c>
      <c r="B83" s="3231" t="s">
        <v>3077</v>
      </c>
      <c r="C83" s="3231"/>
      <c r="D83" s="3231"/>
      <c r="E83" s="3231"/>
      <c r="F83" s="3231">
        <v>4770</v>
      </c>
      <c r="G83" s="3231"/>
    </row>
    <row r="84" spans="1:7" s="3220" customFormat="1" ht="14.25" customHeight="1">
      <c r="A84" s="3231" t="s">
        <v>110</v>
      </c>
      <c r="B84" s="3231" t="s">
        <v>3078</v>
      </c>
      <c r="C84" s="3231"/>
      <c r="D84" s="3231"/>
      <c r="E84" s="3231"/>
      <c r="F84" s="3231">
        <v>4600</v>
      </c>
      <c r="G84" s="3231"/>
    </row>
    <row r="85" spans="1:7" s="3220" customFormat="1" ht="14.25" customHeight="1">
      <c r="A85" s="3231" t="s">
        <v>110</v>
      </c>
      <c r="B85" s="3231" t="s">
        <v>3079</v>
      </c>
      <c r="C85" s="3231"/>
      <c r="D85" s="3231"/>
      <c r="E85" s="3231"/>
      <c r="F85" s="3231">
        <v>4680</v>
      </c>
      <c r="G85" s="3231"/>
    </row>
    <row r="86" spans="1:7" s="3220" customFormat="1" ht="14.25" customHeight="1" thickBot="1">
      <c r="A86" s="3239" t="s">
        <v>110</v>
      </c>
      <c r="B86" s="3241" t="s">
        <v>3080</v>
      </c>
      <c r="C86" s="3242">
        <v>16610</v>
      </c>
      <c r="D86" s="3242">
        <v>16540</v>
      </c>
      <c r="E86" s="3242">
        <v>18850</v>
      </c>
      <c r="F86" s="3242"/>
      <c r="G86" s="3242">
        <v>11220</v>
      </c>
    </row>
    <row r="87" spans="1:7" s="3220" customFormat="1" ht="14.25" customHeight="1">
      <c r="A87" s="3236" t="s">
        <v>303</v>
      </c>
      <c r="B87" s="3227" t="s">
        <v>3081</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2960</v>
      </c>
      <c r="C113" s="3231">
        <v>15520</v>
      </c>
      <c r="D113" s="3231">
        <v>15450</v>
      </c>
      <c r="E113" s="3231"/>
      <c r="F113" s="3231"/>
      <c r="G113" s="3244">
        <v>10210</v>
      </c>
    </row>
    <row r="114" spans="1:7" s="3220" customFormat="1" ht="14.25" customHeight="1">
      <c r="A114" s="3231" t="s">
        <v>303</v>
      </c>
      <c r="B114" s="3231" t="s">
        <v>2967</v>
      </c>
      <c r="C114" s="3231">
        <v>13110</v>
      </c>
      <c r="D114" s="3231">
        <v>13050</v>
      </c>
      <c r="E114" s="3231"/>
      <c r="F114" s="3231"/>
      <c r="G114" s="3244">
        <v>8620</v>
      </c>
    </row>
    <row r="115" spans="1:7" s="3220" customFormat="1" ht="14.25" customHeight="1">
      <c r="A115" s="3231" t="s">
        <v>303</v>
      </c>
      <c r="B115" s="3231" t="s">
        <v>2973</v>
      </c>
      <c r="C115" s="3231">
        <v>12460</v>
      </c>
      <c r="D115" s="3231">
        <v>12390</v>
      </c>
      <c r="E115" s="3231"/>
      <c r="F115" s="3231"/>
      <c r="G115" s="3244">
        <v>8190</v>
      </c>
    </row>
    <row r="116" spans="1:7" s="3220" customFormat="1" ht="14.25" customHeight="1">
      <c r="A116" s="3231" t="s">
        <v>303</v>
      </c>
      <c r="B116" s="3231" t="s">
        <v>2980</v>
      </c>
      <c r="C116" s="3231">
        <v>13580</v>
      </c>
      <c r="D116" s="3231">
        <v>13520</v>
      </c>
      <c r="E116" s="3231"/>
      <c r="F116" s="3231"/>
      <c r="G116" s="3244">
        <v>8930</v>
      </c>
    </row>
    <row r="117" spans="1:7" s="3220" customFormat="1" ht="14.25" customHeight="1">
      <c r="A117" s="3231" t="s">
        <v>303</v>
      </c>
      <c r="B117" s="3231" t="s">
        <v>2987</v>
      </c>
      <c r="C117" s="3231">
        <v>17120</v>
      </c>
      <c r="D117" s="3231">
        <v>17040</v>
      </c>
      <c r="E117" s="3231"/>
      <c r="F117" s="3231"/>
      <c r="G117" s="3244">
        <v>11260</v>
      </c>
    </row>
    <row r="118" spans="1:7" s="3220" customFormat="1" ht="14.25" customHeight="1">
      <c r="A118" s="3231" t="s">
        <v>303</v>
      </c>
      <c r="B118" s="3231" t="s">
        <v>2992</v>
      </c>
      <c r="C118" s="3231">
        <v>14860</v>
      </c>
      <c r="D118" s="3231">
        <v>14790</v>
      </c>
      <c r="E118" s="3231"/>
      <c r="F118" s="3231"/>
      <c r="G118" s="3244">
        <v>9780</v>
      </c>
    </row>
    <row r="119" spans="1:7" s="3220" customFormat="1" ht="14.25" customHeight="1">
      <c r="A119" s="3231" t="s">
        <v>303</v>
      </c>
      <c r="B119" s="3231" t="s">
        <v>2996</v>
      </c>
      <c r="C119" s="3231">
        <v>16470</v>
      </c>
      <c r="D119" s="3231">
        <v>16400</v>
      </c>
      <c r="E119" s="3231"/>
      <c r="F119" s="3231"/>
      <c r="G119" s="3244">
        <v>10840</v>
      </c>
    </row>
    <row r="120" spans="1:7" s="3220" customFormat="1" ht="14.25" customHeight="1">
      <c r="A120" s="3231" t="s">
        <v>303</v>
      </c>
      <c r="B120" s="3231" t="s">
        <v>3082</v>
      </c>
      <c r="C120" s="3231"/>
      <c r="D120" s="3231"/>
      <c r="E120" s="3231"/>
      <c r="F120" s="3231">
        <v>4160</v>
      </c>
      <c r="G120" s="3244"/>
    </row>
    <row r="121" spans="1:7" s="3220" customFormat="1" ht="14.25" customHeight="1">
      <c r="A121" s="3231" t="s">
        <v>303</v>
      </c>
      <c r="B121" s="3231" t="s">
        <v>3083</v>
      </c>
      <c r="C121" s="3231"/>
      <c r="D121" s="3231"/>
      <c r="E121" s="3231"/>
      <c r="F121" s="3231">
        <v>3880</v>
      </c>
      <c r="G121" s="3244"/>
    </row>
    <row r="122" spans="1:7" s="3220" customFormat="1" ht="14.25" customHeight="1">
      <c r="A122" s="3231" t="s">
        <v>303</v>
      </c>
      <c r="B122" s="3231" t="s">
        <v>3084</v>
      </c>
      <c r="C122" s="3231">
        <v>13750</v>
      </c>
      <c r="D122" s="3231">
        <v>13680</v>
      </c>
      <c r="E122" s="3231">
        <v>16460</v>
      </c>
      <c r="F122" s="3231">
        <v>2880</v>
      </c>
      <c r="G122" s="3244">
        <v>9040</v>
      </c>
    </row>
    <row r="123" spans="1:7" s="3220" customFormat="1" ht="14.25" customHeight="1">
      <c r="A123" s="3231" t="s">
        <v>303</v>
      </c>
      <c r="B123" s="3231" t="s">
        <v>3015</v>
      </c>
      <c r="C123" s="3231">
        <v>13590</v>
      </c>
      <c r="D123" s="3231">
        <v>13520</v>
      </c>
      <c r="E123" s="3231">
        <v>16290</v>
      </c>
      <c r="F123" s="3231">
        <v>2790</v>
      </c>
      <c r="G123" s="3244">
        <v>8930</v>
      </c>
    </row>
    <row r="124" spans="1:7" s="3220" customFormat="1" ht="14.25" customHeight="1">
      <c r="A124" s="3231" t="s">
        <v>303</v>
      </c>
      <c r="B124" s="3231" t="s">
        <v>3020</v>
      </c>
      <c r="C124" s="3231">
        <v>13400</v>
      </c>
      <c r="D124" s="3231">
        <v>13320</v>
      </c>
      <c r="E124" s="3231">
        <v>16100</v>
      </c>
      <c r="F124" s="3231">
        <v>2320</v>
      </c>
      <c r="G124" s="3244">
        <v>8800</v>
      </c>
    </row>
    <row r="125" spans="1:7" s="3220" customFormat="1" ht="14.25" customHeight="1">
      <c r="A125" s="3231" t="s">
        <v>303</v>
      </c>
      <c r="B125" s="3231" t="s">
        <v>3025</v>
      </c>
      <c r="C125" s="3231">
        <v>12860</v>
      </c>
      <c r="D125" s="3231">
        <v>12790</v>
      </c>
      <c r="E125" s="3231">
        <v>15370</v>
      </c>
      <c r="F125" s="3231">
        <v>2280</v>
      </c>
      <c r="G125" s="3244">
        <v>8450</v>
      </c>
    </row>
    <row r="126" spans="1:7" s="3220" customFormat="1" ht="14.25" customHeight="1" thickBot="1">
      <c r="A126" s="3245" t="s">
        <v>303</v>
      </c>
      <c r="B126" s="3238" t="s">
        <v>3030</v>
      </c>
      <c r="C126" s="3238">
        <v>12960</v>
      </c>
      <c r="D126" s="3238">
        <v>12890</v>
      </c>
      <c r="E126" s="3238">
        <v>15530</v>
      </c>
      <c r="F126" s="3238">
        <v>2910</v>
      </c>
      <c r="G126" s="3246">
        <v>8520</v>
      </c>
    </row>
    <row r="127" spans="1:7" s="3220" customFormat="1" ht="14.25" customHeight="1">
      <c r="A127" s="3236" t="s">
        <v>29</v>
      </c>
      <c r="B127" s="3227" t="s">
        <v>3085</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3086</v>
      </c>
      <c r="C148" s="3231">
        <v>10370</v>
      </c>
      <c r="D148" s="3231">
        <v>10310</v>
      </c>
      <c r="E148" s="3231">
        <v>12970</v>
      </c>
      <c r="F148" s="3231"/>
      <c r="G148" s="3231">
        <v>6630</v>
      </c>
    </row>
    <row r="149" spans="1:7" s="3220" customFormat="1" ht="14.25" customHeight="1">
      <c r="A149" s="3231" t="s">
        <v>29</v>
      </c>
      <c r="B149" s="3231" t="s">
        <v>3087</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2961</v>
      </c>
      <c r="C153" s="3231">
        <v>10880</v>
      </c>
      <c r="D153" s="3231">
        <v>10820</v>
      </c>
      <c r="E153" s="3231">
        <v>13660</v>
      </c>
      <c r="F153" s="3231">
        <v>2260</v>
      </c>
      <c r="G153" s="3231">
        <v>6970</v>
      </c>
    </row>
    <row r="154" spans="1:7" s="3220" customFormat="1" ht="14.25" customHeight="1">
      <c r="A154" s="3231" t="s">
        <v>29</v>
      </c>
      <c r="B154" s="3231" t="s">
        <v>3088</v>
      </c>
      <c r="C154" s="3231">
        <v>11220</v>
      </c>
      <c r="D154" s="3231">
        <v>11160</v>
      </c>
      <c r="E154" s="3231">
        <v>14130</v>
      </c>
      <c r="F154" s="3231">
        <v>2230</v>
      </c>
      <c r="G154" s="3231">
        <v>7180</v>
      </c>
    </row>
    <row r="155" spans="1:7" s="3220" customFormat="1" ht="14.25" customHeight="1">
      <c r="A155" s="3231" t="s">
        <v>29</v>
      </c>
      <c r="B155" s="3231" t="s">
        <v>2974</v>
      </c>
      <c r="C155" s="3231">
        <v>10430</v>
      </c>
      <c r="D155" s="3231">
        <v>10380</v>
      </c>
      <c r="E155" s="3231">
        <v>13140</v>
      </c>
      <c r="F155" s="3231">
        <v>2080</v>
      </c>
      <c r="G155" s="3231">
        <v>6650</v>
      </c>
    </row>
    <row r="156" spans="1:7" s="3220" customFormat="1" ht="14.25" customHeight="1">
      <c r="A156" s="3231" t="s">
        <v>29</v>
      </c>
      <c r="B156" s="3231" t="s">
        <v>3089</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3090</v>
      </c>
      <c r="C160" s="3231">
        <v>11180</v>
      </c>
      <c r="D160" s="3231">
        <v>11140</v>
      </c>
      <c r="E160" s="3231">
        <v>14050</v>
      </c>
      <c r="F160" s="3231">
        <v>2270</v>
      </c>
      <c r="G160" s="3231">
        <v>7170</v>
      </c>
    </row>
    <row r="161" spans="1:7" s="3220" customFormat="1" ht="14.25" customHeight="1">
      <c r="A161" s="3231" t="s">
        <v>29</v>
      </c>
      <c r="B161" s="3231" t="s">
        <v>3006</v>
      </c>
      <c r="C161" s="3231">
        <v>11160</v>
      </c>
      <c r="D161" s="3231">
        <v>11120</v>
      </c>
      <c r="E161" s="3231">
        <v>14020</v>
      </c>
      <c r="F161" s="3231">
        <v>2150</v>
      </c>
      <c r="G161" s="3231">
        <v>7160</v>
      </c>
    </row>
    <row r="162" spans="1:7" s="3220" customFormat="1" ht="14.25" customHeight="1">
      <c r="A162" s="3231" t="s">
        <v>29</v>
      </c>
      <c r="B162" s="3231" t="s">
        <v>3011</v>
      </c>
      <c r="C162" s="3231">
        <v>9620</v>
      </c>
      <c r="D162" s="3231">
        <v>9570</v>
      </c>
      <c r="E162" s="3231">
        <v>12320</v>
      </c>
      <c r="F162" s="3231">
        <v>2010</v>
      </c>
      <c r="G162" s="3231">
        <v>6160</v>
      </c>
    </row>
    <row r="163" spans="1:7" s="3220" customFormat="1" ht="14.25" customHeight="1">
      <c r="A163" s="3231" t="s">
        <v>29</v>
      </c>
      <c r="B163" s="3231" t="s">
        <v>3016</v>
      </c>
      <c r="C163" s="3231">
        <v>9320</v>
      </c>
      <c r="D163" s="3231">
        <v>9270</v>
      </c>
      <c r="E163" s="3231">
        <v>11790</v>
      </c>
      <c r="F163" s="3231">
        <v>1920</v>
      </c>
      <c r="G163" s="3231">
        <v>5960</v>
      </c>
    </row>
    <row r="164" spans="1:7" s="3220" customFormat="1" ht="14.25" customHeight="1">
      <c r="A164" s="3231" t="s">
        <v>29</v>
      </c>
      <c r="B164" s="3231" t="s">
        <v>3021</v>
      </c>
      <c r="C164" s="3231"/>
      <c r="D164" s="3231"/>
      <c r="E164" s="3231"/>
      <c r="F164" s="3231">
        <v>1980</v>
      </c>
      <c r="G164" s="3231"/>
    </row>
    <row r="165" spans="1:7" s="3220" customFormat="1" ht="14.25" customHeight="1">
      <c r="A165" s="3231" t="s">
        <v>29</v>
      </c>
      <c r="B165" s="3231" t="s">
        <v>3091</v>
      </c>
      <c r="C165" s="3231">
        <v>11060</v>
      </c>
      <c r="D165" s="3231">
        <v>11030</v>
      </c>
      <c r="E165" s="3231">
        <v>13850</v>
      </c>
      <c r="F165" s="3231">
        <v>2170</v>
      </c>
      <c r="G165" s="3231">
        <v>7090</v>
      </c>
    </row>
    <row r="166" spans="1:7" s="3220" customFormat="1" ht="14.25" customHeight="1">
      <c r="A166" s="3231" t="s">
        <v>29</v>
      </c>
      <c r="B166" s="3231" t="s">
        <v>3031</v>
      </c>
      <c r="C166" s="3231">
        <v>11050</v>
      </c>
      <c r="D166" s="3231">
        <v>11010</v>
      </c>
      <c r="E166" s="3231">
        <v>13920</v>
      </c>
      <c r="F166" s="3231">
        <v>2140</v>
      </c>
      <c r="G166" s="3231">
        <v>7080</v>
      </c>
    </row>
    <row r="167" spans="1:7" s="3220" customFormat="1" ht="14.25" customHeight="1">
      <c r="A167" s="3231" t="s">
        <v>29</v>
      </c>
      <c r="B167" s="3231" t="s">
        <v>3035</v>
      </c>
      <c r="C167" s="3231">
        <v>10930</v>
      </c>
      <c r="D167" s="3231">
        <v>10890</v>
      </c>
      <c r="E167" s="3231">
        <v>13790</v>
      </c>
      <c r="F167" s="3231">
        <v>2010</v>
      </c>
      <c r="G167" s="3231">
        <v>7000</v>
      </c>
    </row>
    <row r="168" spans="1:7" s="3220" customFormat="1" ht="14.25" customHeight="1">
      <c r="A168" s="3231" t="s">
        <v>29</v>
      </c>
      <c r="B168" s="3231" t="s">
        <v>3040</v>
      </c>
      <c r="C168" s="3231">
        <v>9420</v>
      </c>
      <c r="D168" s="3231">
        <v>9380</v>
      </c>
      <c r="E168" s="3231">
        <v>11970</v>
      </c>
      <c r="F168" s="3231"/>
      <c r="G168" s="3231">
        <v>6040</v>
      </c>
    </row>
    <row r="169" spans="1:7" s="3220" customFormat="1" ht="14.25" customHeight="1">
      <c r="A169" s="3231" t="s">
        <v>29</v>
      </c>
      <c r="B169" s="3231" t="s">
        <v>3092</v>
      </c>
      <c r="C169" s="3231"/>
      <c r="D169" s="3231"/>
      <c r="E169" s="3231"/>
      <c r="F169" s="3231">
        <v>2880</v>
      </c>
      <c r="G169" s="3231"/>
    </row>
    <row r="170" spans="1:7" s="3220" customFormat="1" ht="14.25" customHeight="1">
      <c r="A170" s="3231" t="s">
        <v>29</v>
      </c>
      <c r="B170" s="3231" t="s">
        <v>3048</v>
      </c>
      <c r="C170" s="3231"/>
      <c r="D170" s="3231"/>
      <c r="E170" s="3231"/>
      <c r="F170" s="3231">
        <v>2880</v>
      </c>
      <c r="G170" s="3231"/>
    </row>
    <row r="171" spans="1:7" s="3220" customFormat="1" ht="14.25" customHeight="1">
      <c r="A171" s="3231" t="s">
        <v>29</v>
      </c>
      <c r="B171" s="3231" t="s">
        <v>3051</v>
      </c>
      <c r="C171" s="3231"/>
      <c r="D171" s="3231"/>
      <c r="E171" s="3231"/>
      <c r="F171" s="3231">
        <v>2880</v>
      </c>
      <c r="G171" s="3231"/>
    </row>
    <row r="172" spans="1:7" s="3220" customFormat="1" ht="14.25" customHeight="1">
      <c r="A172" s="3231" t="s">
        <v>29</v>
      </c>
      <c r="B172" s="3231" t="s">
        <v>3053</v>
      </c>
      <c r="C172" s="3231"/>
      <c r="D172" s="3231"/>
      <c r="E172" s="3231"/>
      <c r="F172" s="3231">
        <v>2880</v>
      </c>
      <c r="G172" s="3231"/>
    </row>
    <row r="173" spans="1:7" s="3220" customFormat="1" ht="14.25" customHeight="1">
      <c r="A173" s="3231" t="s">
        <v>29</v>
      </c>
      <c r="B173" s="3231" t="s">
        <v>3055</v>
      </c>
      <c r="C173" s="3231"/>
      <c r="D173" s="3231"/>
      <c r="E173" s="3231"/>
      <c r="F173" s="3231">
        <v>2150</v>
      </c>
      <c r="G173" s="3231"/>
    </row>
    <row r="174" spans="1:7" s="3220" customFormat="1" ht="14.25" customHeight="1">
      <c r="A174" s="3231" t="s">
        <v>29</v>
      </c>
      <c r="B174" s="3231" t="s">
        <v>3057</v>
      </c>
      <c r="C174" s="3231"/>
      <c r="D174" s="3231"/>
      <c r="E174" s="3231"/>
      <c r="F174" s="3231">
        <v>2030</v>
      </c>
      <c r="G174" s="3231"/>
    </row>
    <row r="175" spans="1:7" s="3220" customFormat="1" ht="14.25" customHeight="1">
      <c r="A175" s="3231" t="s">
        <v>29</v>
      </c>
      <c r="B175" s="3231" t="s">
        <v>3059</v>
      </c>
      <c r="C175" s="3231"/>
      <c r="D175" s="3231"/>
      <c r="E175" s="3231"/>
      <c r="F175" s="3231">
        <v>2780</v>
      </c>
      <c r="G175" s="3231"/>
    </row>
    <row r="176" spans="1:7" s="3220" customFormat="1" ht="14.25" customHeight="1">
      <c r="A176" s="3231" t="s">
        <v>29</v>
      </c>
      <c r="B176" s="3231" t="s">
        <v>3061</v>
      </c>
      <c r="C176" s="3231"/>
      <c r="D176" s="3231"/>
      <c r="E176" s="3231"/>
      <c r="F176" s="3231">
        <v>2780</v>
      </c>
      <c r="G176" s="3231"/>
    </row>
    <row r="177" spans="1:7" s="3220" customFormat="1" ht="14.25" customHeight="1">
      <c r="A177" s="3231" t="s">
        <v>29</v>
      </c>
      <c r="B177" s="3231" t="s">
        <v>3093</v>
      </c>
      <c r="C177" s="3231"/>
      <c r="D177" s="3231"/>
      <c r="E177" s="3231"/>
      <c r="F177" s="3231">
        <v>2780</v>
      </c>
      <c r="G177" s="3231"/>
    </row>
    <row r="178" spans="1:7" s="3220" customFormat="1" ht="14.25" customHeight="1">
      <c r="A178" s="3231" t="s">
        <v>29</v>
      </c>
      <c r="B178" s="3231" t="s">
        <v>3094</v>
      </c>
      <c r="C178" s="3231"/>
      <c r="D178" s="3231"/>
      <c r="E178" s="3231"/>
      <c r="F178" s="3231">
        <v>2060</v>
      </c>
      <c r="G178" s="3231"/>
    </row>
    <row r="179" spans="1:7" s="3220" customFormat="1" ht="14.25" customHeight="1">
      <c r="A179" s="3231" t="s">
        <v>29</v>
      </c>
      <c r="B179" s="3231" t="s">
        <v>3095</v>
      </c>
      <c r="C179" s="3231"/>
      <c r="D179" s="3231"/>
      <c r="E179" s="3231"/>
      <c r="F179" s="3231">
        <v>2120</v>
      </c>
      <c r="G179" s="3231"/>
    </row>
    <row r="180" spans="1:7" s="3220" customFormat="1" ht="14.25" customHeight="1">
      <c r="A180" s="3231" t="s">
        <v>29</v>
      </c>
      <c r="B180" s="3231" t="s">
        <v>3067</v>
      </c>
      <c r="C180" s="3231"/>
      <c r="D180" s="3231"/>
      <c r="E180" s="3231"/>
      <c r="F180" s="3231">
        <v>2340</v>
      </c>
      <c r="G180" s="3231"/>
    </row>
    <row r="181" spans="1:7" s="3220" customFormat="1" ht="14.25" customHeight="1">
      <c r="A181" s="3231" t="s">
        <v>29</v>
      </c>
      <c r="B181" s="3231" t="s">
        <v>3068</v>
      </c>
      <c r="C181" s="3231"/>
      <c r="D181" s="3231"/>
      <c r="E181" s="3231"/>
      <c r="F181" s="3231">
        <v>2340</v>
      </c>
      <c r="G181" s="3231"/>
    </row>
    <row r="182" spans="1:7" s="3220" customFormat="1" ht="14.25" customHeight="1">
      <c r="A182" s="3231" t="s">
        <v>29</v>
      </c>
      <c r="B182" s="3231" t="s">
        <v>3069</v>
      </c>
      <c r="C182" s="3231"/>
      <c r="D182" s="3231"/>
      <c r="E182" s="3231"/>
      <c r="F182" s="3231">
        <v>2340</v>
      </c>
      <c r="G182" s="3231"/>
    </row>
    <row r="183" spans="1:7" s="3220" customFormat="1" ht="14.25" customHeight="1">
      <c r="A183" s="3231" t="s">
        <v>29</v>
      </c>
      <c r="B183" s="3231" t="s">
        <v>3070</v>
      </c>
      <c r="C183" s="3231"/>
      <c r="D183" s="3231"/>
      <c r="E183" s="3231"/>
      <c r="F183" s="3231">
        <v>2340</v>
      </c>
      <c r="G183" s="3231"/>
    </row>
    <row r="184" spans="1:7" s="3220" customFormat="1" ht="14.25" customHeight="1">
      <c r="A184" s="3231" t="s">
        <v>29</v>
      </c>
      <c r="B184" s="3231" t="s">
        <v>3071</v>
      </c>
      <c r="C184" s="3231"/>
      <c r="D184" s="3231"/>
      <c r="E184" s="3231"/>
      <c r="F184" s="3231">
        <v>2340</v>
      </c>
      <c r="G184" s="3231"/>
    </row>
    <row r="185" spans="1:7" s="3220" customFormat="1" ht="14.25" customHeight="1">
      <c r="A185" s="3231" t="s">
        <v>29</v>
      </c>
      <c r="B185" s="3231" t="s">
        <v>3072</v>
      </c>
      <c r="C185" s="3231"/>
      <c r="D185" s="3231"/>
      <c r="E185" s="3231"/>
      <c r="F185" s="3231">
        <v>2530</v>
      </c>
      <c r="G185" s="3231"/>
    </row>
    <row r="186" spans="1:7" s="3220" customFormat="1" ht="14.25" customHeight="1">
      <c r="A186" s="3231" t="s">
        <v>29</v>
      </c>
      <c r="B186" s="3231" t="s">
        <v>3073</v>
      </c>
      <c r="C186" s="3231"/>
      <c r="D186" s="3231"/>
      <c r="E186" s="3231"/>
      <c r="F186" s="3231">
        <v>2550</v>
      </c>
      <c r="G186" s="3231"/>
    </row>
    <row r="187" spans="1:7" s="3220" customFormat="1" ht="14.25" customHeight="1">
      <c r="A187" s="3231" t="s">
        <v>29</v>
      </c>
      <c r="B187" s="3231" t="s">
        <v>3074</v>
      </c>
      <c r="C187" s="3231"/>
      <c r="D187" s="3231"/>
      <c r="E187" s="3231"/>
      <c r="F187" s="3231">
        <v>2070</v>
      </c>
      <c r="G187" s="3231"/>
    </row>
    <row r="188" spans="1:7" s="3220" customFormat="1" ht="14.25" customHeight="1">
      <c r="A188" s="3231" t="s">
        <v>29</v>
      </c>
      <c r="B188" s="3231" t="s">
        <v>3075</v>
      </c>
      <c r="C188" s="3231"/>
      <c r="D188" s="3231"/>
      <c r="E188" s="3231"/>
      <c r="F188" s="3231">
        <v>2340</v>
      </c>
      <c r="G188" s="3231"/>
    </row>
    <row r="189" spans="1:7" s="3220" customFormat="1" ht="14.25" customHeight="1" thickBot="1">
      <c r="A189" s="3239" t="s">
        <v>29</v>
      </c>
      <c r="B189" s="3242" t="s">
        <v>3076</v>
      </c>
      <c r="C189" s="3242"/>
      <c r="D189" s="3242"/>
      <c r="E189" s="3242"/>
      <c r="F189" s="3242">
        <v>2050</v>
      </c>
      <c r="G189" s="3242"/>
    </row>
    <row r="190" spans="1:7" s="3220" customFormat="1" ht="14.25" customHeight="1">
      <c r="A190" s="3236" t="s">
        <v>304</v>
      </c>
      <c r="B190" s="3227" t="s">
        <v>3096</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3097</v>
      </c>
      <c r="C199" s="3231">
        <v>8690</v>
      </c>
      <c r="D199" s="3231">
        <v>8630</v>
      </c>
      <c r="E199" s="3231">
        <v>11350</v>
      </c>
      <c r="F199" s="3231">
        <v>1600</v>
      </c>
      <c r="G199" s="3244">
        <v>5450</v>
      </c>
    </row>
    <row r="200" spans="1:7" s="3220" customFormat="1" ht="14.25" customHeight="1">
      <c r="A200" s="3231" t="s">
        <v>304</v>
      </c>
      <c r="B200" s="3231" t="s">
        <v>2908</v>
      </c>
      <c r="C200" s="3231"/>
      <c r="D200" s="3231"/>
      <c r="E200" s="3231"/>
      <c r="F200" s="3231">
        <v>1510</v>
      </c>
      <c r="G200" s="3244"/>
    </row>
    <row r="201" spans="1:7" s="3220" customFormat="1" ht="14.25" customHeight="1">
      <c r="A201" s="3231" t="s">
        <v>304</v>
      </c>
      <c r="B201" s="3231" t="s">
        <v>3098</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3099</v>
      </c>
      <c r="C203" s="3231">
        <v>8130</v>
      </c>
      <c r="D203" s="3231">
        <v>8070</v>
      </c>
      <c r="E203" s="3231">
        <v>10820</v>
      </c>
      <c r="F203" s="3231">
        <v>1690</v>
      </c>
      <c r="G203" s="3244">
        <v>5100</v>
      </c>
    </row>
    <row r="204" spans="1:7" s="3220" customFormat="1" ht="14.25" customHeight="1">
      <c r="A204" s="3231" t="s">
        <v>304</v>
      </c>
      <c r="B204" s="3231" t="s">
        <v>2919</v>
      </c>
      <c r="C204" s="3231">
        <v>8350</v>
      </c>
      <c r="D204" s="3231">
        <v>8290</v>
      </c>
      <c r="E204" s="3231">
        <v>11080</v>
      </c>
      <c r="F204" s="3231">
        <v>1450</v>
      </c>
      <c r="G204" s="3244">
        <v>5240</v>
      </c>
    </row>
    <row r="205" spans="1:7" s="3220" customFormat="1" ht="14.25" customHeight="1">
      <c r="A205" s="3231" t="s">
        <v>304</v>
      </c>
      <c r="B205" s="3231" t="s">
        <v>2921</v>
      </c>
      <c r="C205" s="3231">
        <v>7190</v>
      </c>
      <c r="D205" s="3231">
        <v>7130</v>
      </c>
      <c r="E205" s="3231">
        <v>9490</v>
      </c>
      <c r="F205" s="3231">
        <v>1470</v>
      </c>
      <c r="G205" s="3244">
        <v>4510</v>
      </c>
    </row>
    <row r="206" spans="1:7" s="3220" customFormat="1" ht="14.25" customHeight="1">
      <c r="A206" s="3231" t="s">
        <v>304</v>
      </c>
      <c r="B206" s="3231" t="s">
        <v>2924</v>
      </c>
      <c r="C206" s="3231">
        <v>7000</v>
      </c>
      <c r="D206" s="3231">
        <v>6950</v>
      </c>
      <c r="E206" s="3231">
        <v>9170</v>
      </c>
      <c r="F206" s="3231">
        <v>1400</v>
      </c>
      <c r="G206" s="3244">
        <v>4380</v>
      </c>
    </row>
    <row r="207" spans="1:7" s="3220" customFormat="1" ht="14.25" customHeight="1">
      <c r="A207" s="3231" t="s">
        <v>304</v>
      </c>
      <c r="B207" s="3231" t="s">
        <v>2926</v>
      </c>
      <c r="C207" s="3231">
        <v>6950</v>
      </c>
      <c r="D207" s="3231">
        <v>6900</v>
      </c>
      <c r="E207" s="3231">
        <v>9110</v>
      </c>
      <c r="F207" s="3231">
        <v>1790</v>
      </c>
      <c r="G207" s="3244">
        <v>4360</v>
      </c>
    </row>
    <row r="208" spans="1:7" s="3220" customFormat="1" ht="14.25" customHeight="1">
      <c r="A208" s="3231" t="s">
        <v>304</v>
      </c>
      <c r="B208" s="3231" t="s">
        <v>3100</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2936</v>
      </c>
      <c r="C210" s="3231">
        <v>8710</v>
      </c>
      <c r="D210" s="3231">
        <v>8660</v>
      </c>
      <c r="E210" s="3231">
        <v>11440</v>
      </c>
      <c r="F210" s="3231">
        <v>1740</v>
      </c>
      <c r="G210" s="3244">
        <v>5470</v>
      </c>
    </row>
    <row r="211" spans="1:7" s="3220" customFormat="1" ht="14.25" customHeight="1">
      <c r="A211" s="3231" t="s">
        <v>304</v>
      </c>
      <c r="B211" s="3231" t="s">
        <v>3101</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3102</v>
      </c>
      <c r="C214" s="3231">
        <v>8090</v>
      </c>
      <c r="D214" s="3231">
        <v>8030</v>
      </c>
      <c r="E214" s="3231">
        <v>10780</v>
      </c>
      <c r="F214" s="3231">
        <v>1570</v>
      </c>
      <c r="G214" s="3244">
        <v>5070</v>
      </c>
    </row>
    <row r="215" spans="1:7" s="3220" customFormat="1" ht="14.25" customHeight="1">
      <c r="A215" s="3231" t="s">
        <v>304</v>
      </c>
      <c r="B215" s="3231" t="s">
        <v>3103</v>
      </c>
      <c r="C215" s="3231">
        <v>7950</v>
      </c>
      <c r="D215" s="3231">
        <v>7900</v>
      </c>
      <c r="E215" s="3231">
        <v>10560</v>
      </c>
      <c r="F215" s="3231">
        <v>1630</v>
      </c>
      <c r="G215" s="3244">
        <v>4990</v>
      </c>
    </row>
    <row r="216" spans="1:7" s="3220" customFormat="1" ht="14.25" customHeight="1">
      <c r="A216" s="3231" t="s">
        <v>304</v>
      </c>
      <c r="B216" s="3231" t="s">
        <v>3104</v>
      </c>
      <c r="C216" s="3231">
        <v>8490</v>
      </c>
      <c r="D216" s="3231">
        <v>8440</v>
      </c>
      <c r="E216" s="3231">
        <v>11260</v>
      </c>
      <c r="F216" s="3231">
        <v>1690</v>
      </c>
      <c r="G216" s="3244">
        <v>5330</v>
      </c>
    </row>
    <row r="217" spans="1:7" s="3220" customFormat="1" ht="14.25" customHeight="1">
      <c r="A217" s="3231" t="s">
        <v>304</v>
      </c>
      <c r="B217" s="3231" t="s">
        <v>2969</v>
      </c>
      <c r="C217" s="3231">
        <v>8200</v>
      </c>
      <c r="D217" s="3231">
        <v>8150</v>
      </c>
      <c r="E217" s="3231">
        <v>10910</v>
      </c>
      <c r="F217" s="3231">
        <v>1670</v>
      </c>
      <c r="G217" s="3244">
        <v>5150</v>
      </c>
    </row>
    <row r="218" spans="1:7" s="3220" customFormat="1" ht="14.25" customHeight="1">
      <c r="A218" s="3231" t="s">
        <v>304</v>
      </c>
      <c r="B218" s="3231" t="s">
        <v>3105</v>
      </c>
      <c r="C218" s="3231"/>
      <c r="D218" s="3231"/>
      <c r="E218" s="3231"/>
      <c r="F218" s="3231">
        <v>2040</v>
      </c>
      <c r="G218" s="3244"/>
    </row>
    <row r="219" spans="1:7" s="3220" customFormat="1" ht="14.25" customHeight="1">
      <c r="A219" s="3231" t="s">
        <v>304</v>
      </c>
      <c r="B219" s="3231" t="s">
        <v>3106</v>
      </c>
      <c r="C219" s="3231"/>
      <c r="D219" s="3231"/>
      <c r="E219" s="3231"/>
      <c r="F219" s="3231">
        <v>2040</v>
      </c>
      <c r="G219" s="3244"/>
    </row>
    <row r="220" spans="1:7" s="3220" customFormat="1" ht="14.25" customHeight="1">
      <c r="A220" s="3231" t="s">
        <v>304</v>
      </c>
      <c r="B220" s="3231" t="s">
        <v>3107</v>
      </c>
      <c r="C220" s="3231"/>
      <c r="D220" s="3231"/>
      <c r="E220" s="3231"/>
      <c r="F220" s="3231">
        <v>2040</v>
      </c>
      <c r="G220" s="3244"/>
    </row>
    <row r="221" spans="1:7" s="3220" customFormat="1" ht="14.25" customHeight="1">
      <c r="A221" s="3231" t="s">
        <v>304</v>
      </c>
      <c r="B221" s="3231" t="s">
        <v>3108</v>
      </c>
      <c r="C221" s="3231"/>
      <c r="D221" s="3231"/>
      <c r="E221" s="3231"/>
      <c r="F221" s="3231">
        <v>2040</v>
      </c>
      <c r="G221" s="3244"/>
    </row>
    <row r="222" spans="1:7" s="3220" customFormat="1" ht="14.25" customHeight="1">
      <c r="A222" s="3231" t="s">
        <v>304</v>
      </c>
      <c r="B222" s="3231" t="s">
        <v>3109</v>
      </c>
      <c r="C222" s="3231"/>
      <c r="D222" s="3231"/>
      <c r="E222" s="3231"/>
      <c r="F222" s="3231">
        <v>2040</v>
      </c>
      <c r="G222" s="3244"/>
    </row>
    <row r="223" spans="1:7" s="3220" customFormat="1" ht="14.25" customHeight="1">
      <c r="A223" s="3231" t="s">
        <v>304</v>
      </c>
      <c r="B223" s="3231" t="s">
        <v>3110</v>
      </c>
      <c r="C223" s="3231"/>
      <c r="D223" s="3231"/>
      <c r="E223" s="3231"/>
      <c r="F223" s="3231">
        <v>1930</v>
      </c>
      <c r="G223" s="3244"/>
    </row>
    <row r="224" spans="1:7" s="3220" customFormat="1" ht="14.25" customHeight="1">
      <c r="A224" s="3231" t="s">
        <v>304</v>
      </c>
      <c r="B224" s="3231" t="s">
        <v>3111</v>
      </c>
      <c r="C224" s="3231"/>
      <c r="D224" s="3231"/>
      <c r="E224" s="3231"/>
      <c r="F224" s="3231">
        <v>1930</v>
      </c>
      <c r="G224" s="3244"/>
    </row>
    <row r="225" spans="1:7" s="3220" customFormat="1" ht="14.25" customHeight="1">
      <c r="A225" s="3231" t="s">
        <v>304</v>
      </c>
      <c r="B225" s="3231" t="s">
        <v>3112</v>
      </c>
      <c r="C225" s="3231"/>
      <c r="D225" s="3231"/>
      <c r="E225" s="3231"/>
      <c r="F225" s="3231">
        <v>1930</v>
      </c>
      <c r="G225" s="3244"/>
    </row>
    <row r="226" spans="1:7" s="3220" customFormat="1" ht="14.25" customHeight="1">
      <c r="A226" s="3231" t="s">
        <v>304</v>
      </c>
      <c r="B226" s="3231" t="s">
        <v>3113</v>
      </c>
      <c r="C226" s="3231"/>
      <c r="D226" s="3231"/>
      <c r="E226" s="3231"/>
      <c r="F226" s="3231">
        <v>1700</v>
      </c>
      <c r="G226" s="3244"/>
    </row>
    <row r="227" spans="1:7" s="3220" customFormat="1" ht="14.25" customHeight="1">
      <c r="A227" s="3231" t="s">
        <v>304</v>
      </c>
      <c r="B227" s="3231" t="s">
        <v>3114</v>
      </c>
      <c r="C227" s="3231"/>
      <c r="D227" s="3231"/>
      <c r="E227" s="3231"/>
      <c r="F227" s="3231">
        <v>1520</v>
      </c>
      <c r="G227" s="3244"/>
    </row>
    <row r="228" spans="1:7" s="3220" customFormat="1" ht="14.25" customHeight="1">
      <c r="A228" s="3231" t="s">
        <v>304</v>
      </c>
      <c r="B228" s="3231" t="s">
        <v>3115</v>
      </c>
      <c r="C228" s="3231"/>
      <c r="D228" s="3231"/>
      <c r="E228" s="3231"/>
      <c r="F228" s="3231">
        <v>1520</v>
      </c>
      <c r="G228" s="3244"/>
    </row>
    <row r="229" spans="1:7" s="3220" customFormat="1" ht="14.25" customHeight="1">
      <c r="A229" s="3231" t="s">
        <v>304</v>
      </c>
      <c r="B229" s="3231" t="s">
        <v>3032</v>
      </c>
      <c r="C229" s="3231"/>
      <c r="D229" s="3231"/>
      <c r="E229" s="3231"/>
      <c r="F229" s="3231">
        <v>1520</v>
      </c>
      <c r="G229" s="3244"/>
    </row>
    <row r="230" spans="1:7" s="3220" customFormat="1" ht="14.25" customHeight="1">
      <c r="A230" s="3231" t="s">
        <v>304</v>
      </c>
      <c r="B230" s="3231" t="s">
        <v>3116</v>
      </c>
      <c r="C230" s="3231"/>
      <c r="D230" s="3231"/>
      <c r="E230" s="3231"/>
      <c r="F230" s="3231">
        <v>1820</v>
      </c>
      <c r="G230" s="3244"/>
    </row>
    <row r="231" spans="1:7" s="3220" customFormat="1" ht="14.25" customHeight="1">
      <c r="A231" s="3231" t="s">
        <v>304</v>
      </c>
      <c r="B231" s="3231" t="s">
        <v>3117</v>
      </c>
      <c r="C231" s="3231"/>
      <c r="D231" s="3231"/>
      <c r="E231" s="3231"/>
      <c r="F231" s="3231">
        <v>1760</v>
      </c>
      <c r="G231" s="3244"/>
    </row>
    <row r="232" spans="1:7" s="3220" customFormat="1" ht="14.25" customHeight="1">
      <c r="A232" s="3231" t="s">
        <v>304</v>
      </c>
      <c r="B232" s="3231" t="s">
        <v>3118</v>
      </c>
      <c r="C232" s="3231"/>
      <c r="D232" s="3231"/>
      <c r="E232" s="3231"/>
      <c r="F232" s="3231">
        <v>1840</v>
      </c>
      <c r="G232" s="3244"/>
    </row>
    <row r="233" spans="1:7" s="3220" customFormat="1" ht="14.25" customHeight="1" thickBot="1">
      <c r="A233" s="3245" t="s">
        <v>304</v>
      </c>
      <c r="B233" s="3238" t="s">
        <v>3049</v>
      </c>
      <c r="C233" s="3238"/>
      <c r="D233" s="3238"/>
      <c r="E233" s="3238"/>
      <c r="F233" s="3238">
        <v>1770</v>
      </c>
      <c r="G233" s="3246"/>
    </row>
    <row r="234" spans="1:7" s="3220" customFormat="1" ht="14.25" customHeight="1">
      <c r="A234" s="3236" t="s">
        <v>305</v>
      </c>
      <c r="B234" s="3227" t="s">
        <v>3119</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2890</v>
      </c>
      <c r="C238" s="3231">
        <v>6920</v>
      </c>
      <c r="D238" s="3231">
        <v>6890</v>
      </c>
      <c r="E238" s="3231">
        <v>8640</v>
      </c>
      <c r="F238" s="3231">
        <v>1310</v>
      </c>
      <c r="G238" s="3231">
        <v>4230</v>
      </c>
    </row>
    <row r="239" spans="1:7" s="3220" customFormat="1" ht="14.25" customHeight="1">
      <c r="A239" s="3231" t="s">
        <v>305</v>
      </c>
      <c r="B239" s="3231" t="s">
        <v>3120</v>
      </c>
      <c r="C239" s="3231">
        <v>6780</v>
      </c>
      <c r="D239" s="3231">
        <v>6750</v>
      </c>
      <c r="E239" s="3231">
        <v>8440</v>
      </c>
      <c r="F239" s="3231">
        <v>1160</v>
      </c>
      <c r="G239" s="3231">
        <v>4140</v>
      </c>
    </row>
    <row r="240" spans="1:7" s="3220" customFormat="1" ht="14.25" customHeight="1">
      <c r="A240" s="3231" t="s">
        <v>305</v>
      </c>
      <c r="B240" s="3231" t="s">
        <v>3121</v>
      </c>
      <c r="C240" s="3231">
        <v>5420</v>
      </c>
      <c r="D240" s="3231">
        <v>5380</v>
      </c>
      <c r="E240" s="3231">
        <v>6640</v>
      </c>
      <c r="F240" s="3231">
        <v>1020</v>
      </c>
      <c r="G240" s="3231">
        <v>3300</v>
      </c>
    </row>
    <row r="241" spans="1:7" s="3220" customFormat="1" ht="14.25" customHeight="1">
      <c r="A241" s="3231" t="s">
        <v>305</v>
      </c>
      <c r="B241" s="3231" t="s">
        <v>3122</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3123</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3124</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3125</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3126</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3127</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2952</v>
      </c>
      <c r="C258" s="3231">
        <v>6190</v>
      </c>
      <c r="D258" s="3231">
        <v>6160</v>
      </c>
      <c r="E258" s="3231">
        <v>7680</v>
      </c>
      <c r="F258" s="3231">
        <v>1170</v>
      </c>
      <c r="G258" s="3231">
        <v>3780</v>
      </c>
    </row>
    <row r="259" spans="1:7" s="3220" customFormat="1" ht="14.25" customHeight="1">
      <c r="A259" s="3231" t="s">
        <v>305</v>
      </c>
      <c r="B259" s="3231" t="s">
        <v>3128</v>
      </c>
      <c r="C259" s="3231">
        <v>7610</v>
      </c>
      <c r="D259" s="3231">
        <v>7570</v>
      </c>
      <c r="E259" s="3231">
        <v>9350</v>
      </c>
      <c r="F259" s="3231">
        <v>1350</v>
      </c>
      <c r="G259" s="3231">
        <v>4650</v>
      </c>
    </row>
    <row r="260" spans="1:7" s="3220" customFormat="1" ht="14.25" customHeight="1">
      <c r="A260" s="3231" t="s">
        <v>305</v>
      </c>
      <c r="B260" s="3231" t="s">
        <v>3129</v>
      </c>
      <c r="C260" s="3231">
        <v>6920</v>
      </c>
      <c r="D260" s="3231">
        <v>6880</v>
      </c>
      <c r="E260" s="3231">
        <v>8380</v>
      </c>
      <c r="F260" s="3231">
        <v>1160</v>
      </c>
      <c r="G260" s="3231">
        <v>4220</v>
      </c>
    </row>
    <row r="261" spans="1:7" s="3220" customFormat="1" ht="14.25" customHeight="1">
      <c r="A261" s="3231" t="s">
        <v>305</v>
      </c>
      <c r="B261" s="3231" t="s">
        <v>3130</v>
      </c>
      <c r="C261" s="3231">
        <v>6850</v>
      </c>
      <c r="D261" s="3231">
        <v>6810</v>
      </c>
      <c r="E261" s="3231">
        <v>8290</v>
      </c>
      <c r="F261" s="3231">
        <v>1130</v>
      </c>
      <c r="G261" s="3231">
        <v>4180</v>
      </c>
    </row>
    <row r="262" spans="1:7" s="3220" customFormat="1" ht="14.25" customHeight="1">
      <c r="A262" s="3231" t="s">
        <v>305</v>
      </c>
      <c r="B262" s="3231" t="s">
        <v>3131</v>
      </c>
      <c r="C262" s="3231">
        <v>5860</v>
      </c>
      <c r="D262" s="3231">
        <v>5820</v>
      </c>
      <c r="E262" s="3231">
        <v>7640</v>
      </c>
      <c r="F262" s="3231">
        <v>1070</v>
      </c>
      <c r="G262" s="3231">
        <v>3570</v>
      </c>
    </row>
    <row r="263" spans="1:7" s="3220" customFormat="1" ht="14.25" customHeight="1">
      <c r="A263" s="3231" t="s">
        <v>305</v>
      </c>
      <c r="B263" s="3231" t="s">
        <v>3132</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3133</v>
      </c>
      <c r="C265" s="3231"/>
      <c r="D265" s="3231"/>
      <c r="E265" s="3231"/>
      <c r="F265" s="3231">
        <v>1500</v>
      </c>
      <c r="G265" s="3231"/>
    </row>
    <row r="266" spans="1:7" s="3220" customFormat="1" ht="14.25" customHeight="1">
      <c r="A266" s="3231" t="s">
        <v>305</v>
      </c>
      <c r="B266" s="3231" t="s">
        <v>3134</v>
      </c>
      <c r="C266" s="3231"/>
      <c r="D266" s="3231"/>
      <c r="E266" s="3231"/>
      <c r="F266" s="3231">
        <v>1500</v>
      </c>
      <c r="G266" s="3231"/>
    </row>
    <row r="267" spans="1:7" s="3220" customFormat="1" ht="14.25" customHeight="1">
      <c r="A267" s="3231" t="s">
        <v>305</v>
      </c>
      <c r="B267" s="3231" t="s">
        <v>3135</v>
      </c>
      <c r="C267" s="3231"/>
      <c r="D267" s="3231"/>
      <c r="E267" s="3231"/>
      <c r="F267" s="3231">
        <v>1500</v>
      </c>
      <c r="G267" s="3231"/>
    </row>
    <row r="268" spans="1:7" s="3220" customFormat="1" ht="14.25" customHeight="1">
      <c r="A268" s="3231" t="s">
        <v>305</v>
      </c>
      <c r="B268" s="3231" t="s">
        <v>3136</v>
      </c>
      <c r="C268" s="3231"/>
      <c r="D268" s="3231"/>
      <c r="E268" s="3231"/>
      <c r="F268" s="3231">
        <v>1290</v>
      </c>
      <c r="G268" s="3231"/>
    </row>
    <row r="269" spans="1:7" s="3220" customFormat="1" ht="14.25" customHeight="1">
      <c r="A269" s="3231" t="s">
        <v>305</v>
      </c>
      <c r="B269" s="3231" t="s">
        <v>3137</v>
      </c>
      <c r="C269" s="3231"/>
      <c r="D269" s="3231"/>
      <c r="E269" s="3231"/>
      <c r="F269" s="3231">
        <v>1150</v>
      </c>
      <c r="G269" s="3231"/>
    </row>
    <row r="270" spans="1:7" s="3220" customFormat="1" ht="14.25" customHeight="1">
      <c r="A270" s="3231" t="s">
        <v>305</v>
      </c>
      <c r="B270" s="3231" t="s">
        <v>3138</v>
      </c>
      <c r="C270" s="3231"/>
      <c r="D270" s="3231"/>
      <c r="E270" s="3231"/>
      <c r="F270" s="3231">
        <v>1380</v>
      </c>
      <c r="G270" s="3231"/>
    </row>
    <row r="271" spans="1:7" s="3220" customFormat="1" ht="14.25" customHeight="1">
      <c r="A271" s="3231" t="s">
        <v>305</v>
      </c>
      <c r="B271" s="3231" t="s">
        <v>3139</v>
      </c>
      <c r="C271" s="3231"/>
      <c r="D271" s="3231"/>
      <c r="E271" s="3231"/>
      <c r="F271" s="3231">
        <v>1460</v>
      </c>
      <c r="G271" s="3231"/>
    </row>
    <row r="272" spans="1:7" s="3220" customFormat="1" ht="14.25" customHeight="1">
      <c r="A272" s="3231" t="s">
        <v>305</v>
      </c>
      <c r="B272" s="3231" t="s">
        <v>3140</v>
      </c>
      <c r="C272" s="3231"/>
      <c r="D272" s="3231"/>
      <c r="E272" s="3231"/>
      <c r="F272" s="3231">
        <v>1460</v>
      </c>
      <c r="G272" s="3231"/>
    </row>
    <row r="273" spans="1:7" s="3220" customFormat="1" ht="14.25" customHeight="1">
      <c r="A273" s="3231" t="s">
        <v>305</v>
      </c>
      <c r="B273" s="3231" t="s">
        <v>3033</v>
      </c>
      <c r="C273" s="3231"/>
      <c r="D273" s="3231"/>
      <c r="E273" s="3231"/>
      <c r="F273" s="3231">
        <v>1490</v>
      </c>
      <c r="G273" s="3231"/>
    </row>
    <row r="274" spans="1:7" s="3220" customFormat="1" ht="14.25" customHeight="1">
      <c r="A274" s="3231" t="s">
        <v>305</v>
      </c>
      <c r="B274" s="3231" t="s">
        <v>3141</v>
      </c>
      <c r="C274" s="3231"/>
      <c r="D274" s="3231"/>
      <c r="E274" s="3231"/>
      <c r="F274" s="3231">
        <v>1490</v>
      </c>
      <c r="G274" s="3231"/>
    </row>
    <row r="275" spans="1:7" s="3220" customFormat="1" ht="14.25" customHeight="1">
      <c r="A275" s="3231" t="s">
        <v>305</v>
      </c>
      <c r="B275" s="3231" t="s">
        <v>3142</v>
      </c>
      <c r="C275" s="3231"/>
      <c r="D275" s="3231"/>
      <c r="E275" s="3231"/>
      <c r="F275" s="3231">
        <v>1220</v>
      </c>
      <c r="G275" s="3231"/>
    </row>
    <row r="276" spans="1:7" s="3220" customFormat="1" ht="14.25" customHeight="1" thickBot="1">
      <c r="A276" s="3239" t="s">
        <v>305</v>
      </c>
      <c r="B276" s="3241" t="s">
        <v>3143</v>
      </c>
      <c r="C276" s="3242"/>
      <c r="D276" s="3242"/>
      <c r="E276" s="3242"/>
      <c r="F276" s="3242">
        <v>1380</v>
      </c>
      <c r="G276" s="3242"/>
    </row>
    <row r="277" spans="1:7" s="3220" customFormat="1" ht="14.25" customHeight="1">
      <c r="A277" s="3236" t="s">
        <v>306</v>
      </c>
      <c r="B277" s="3227" t="s">
        <v>3144</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3145</v>
      </c>
      <c r="C279" s="3231">
        <v>4760</v>
      </c>
      <c r="D279" s="3231">
        <v>4720</v>
      </c>
      <c r="E279" s="3231">
        <v>5540</v>
      </c>
      <c r="F279" s="3231">
        <v>810</v>
      </c>
      <c r="G279" s="3244">
        <v>2850</v>
      </c>
    </row>
    <row r="280" spans="1:7" s="3220" customFormat="1" ht="14.25" customHeight="1">
      <c r="A280" s="3231" t="s">
        <v>306</v>
      </c>
      <c r="B280" s="3231" t="s">
        <v>3146</v>
      </c>
      <c r="C280" s="3231">
        <v>4010</v>
      </c>
      <c r="D280" s="3231">
        <v>3950</v>
      </c>
      <c r="E280" s="3231">
        <v>4710</v>
      </c>
      <c r="F280" s="3231">
        <v>800</v>
      </c>
      <c r="G280" s="3244">
        <v>2390</v>
      </c>
    </row>
    <row r="281" spans="1:7" s="3220" customFormat="1" ht="14.25" customHeight="1">
      <c r="A281" s="3231" t="s">
        <v>306</v>
      </c>
      <c r="B281" s="3231" t="s">
        <v>3147</v>
      </c>
      <c r="C281" s="3231">
        <v>4480</v>
      </c>
      <c r="D281" s="3231">
        <v>4420</v>
      </c>
      <c r="E281" s="3231">
        <v>5230</v>
      </c>
      <c r="F281" s="3231">
        <v>870</v>
      </c>
      <c r="G281" s="3244">
        <v>2660</v>
      </c>
    </row>
    <row r="282" spans="1:7" s="3220" customFormat="1" ht="14.25" customHeight="1">
      <c r="A282" s="3231" t="s">
        <v>306</v>
      </c>
      <c r="B282" s="3231" t="s">
        <v>3148</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3149</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3150</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2925</v>
      </c>
      <c r="C293" s="3231">
        <v>5320</v>
      </c>
      <c r="D293" s="3231">
        <v>5270</v>
      </c>
      <c r="E293" s="3231">
        <v>6160</v>
      </c>
      <c r="F293" s="3231">
        <v>990</v>
      </c>
      <c r="G293" s="3244">
        <v>3170</v>
      </c>
    </row>
    <row r="294" spans="1:7" s="3220" customFormat="1" ht="14.25" customHeight="1">
      <c r="A294" s="3231" t="s">
        <v>306</v>
      </c>
      <c r="B294" s="3231" t="s">
        <v>3151</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2944</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3152</v>
      </c>
      <c r="C302" s="3231">
        <v>5520</v>
      </c>
      <c r="D302" s="3231">
        <v>5470</v>
      </c>
      <c r="E302" s="3231">
        <v>6410</v>
      </c>
      <c r="F302" s="3231">
        <v>950</v>
      </c>
      <c r="G302" s="3244">
        <v>3300</v>
      </c>
    </row>
    <row r="303" spans="1:7" s="3220" customFormat="1" ht="14.25" customHeight="1">
      <c r="A303" s="3231" t="s">
        <v>306</v>
      </c>
      <c r="B303" s="3231" t="s">
        <v>2964</v>
      </c>
      <c r="C303" s="3231">
        <v>5630</v>
      </c>
      <c r="D303" s="3231">
        <v>5590</v>
      </c>
      <c r="E303" s="3231">
        <v>6550</v>
      </c>
      <c r="F303" s="3231">
        <v>1010</v>
      </c>
      <c r="G303" s="3244">
        <v>3370</v>
      </c>
    </row>
    <row r="304" spans="1:7" s="3220" customFormat="1" ht="14.25" customHeight="1">
      <c r="A304" s="3231" t="s">
        <v>306</v>
      </c>
      <c r="B304" s="3231" t="s">
        <v>2971</v>
      </c>
      <c r="C304" s="3231">
        <v>5680</v>
      </c>
      <c r="D304" s="3231">
        <v>5620</v>
      </c>
      <c r="E304" s="3231">
        <v>6620</v>
      </c>
      <c r="F304" s="3231">
        <v>1050</v>
      </c>
      <c r="G304" s="3244">
        <v>3390</v>
      </c>
    </row>
    <row r="305" spans="1:7" s="3220" customFormat="1" ht="14.25" customHeight="1">
      <c r="A305" s="3231" t="s">
        <v>306</v>
      </c>
      <c r="B305" s="3231" t="s">
        <v>2977</v>
      </c>
      <c r="C305" s="3231">
        <v>5590</v>
      </c>
      <c r="D305" s="3231">
        <v>5530</v>
      </c>
      <c r="E305" s="3231">
        <v>6460</v>
      </c>
      <c r="F305" s="3231">
        <v>900</v>
      </c>
      <c r="G305" s="3244">
        <v>3340</v>
      </c>
    </row>
    <row r="306" spans="1:7" s="3220" customFormat="1" ht="14.25" customHeight="1">
      <c r="A306" s="3231" t="s">
        <v>306</v>
      </c>
      <c r="B306" s="3231" t="s">
        <v>3153</v>
      </c>
      <c r="C306" s="3231">
        <v>5560</v>
      </c>
      <c r="D306" s="3231">
        <v>5510</v>
      </c>
      <c r="E306" s="3231">
        <v>6440</v>
      </c>
      <c r="F306" s="3231">
        <v>900</v>
      </c>
      <c r="G306" s="3244">
        <v>3320</v>
      </c>
    </row>
    <row r="307" spans="1:7" s="3220" customFormat="1" ht="14.25" customHeight="1">
      <c r="A307" s="3231" t="s">
        <v>306</v>
      </c>
      <c r="B307" s="3231" t="s">
        <v>2989</v>
      </c>
      <c r="C307" s="3231">
        <v>5650</v>
      </c>
      <c r="D307" s="3231">
        <v>5600</v>
      </c>
      <c r="E307" s="3231">
        <v>6590</v>
      </c>
      <c r="F307" s="3231">
        <v>930</v>
      </c>
      <c r="G307" s="3244">
        <v>3380</v>
      </c>
    </row>
    <row r="308" spans="1:7" s="3220" customFormat="1" ht="14.25" customHeight="1">
      <c r="A308" s="3231" t="s">
        <v>306</v>
      </c>
      <c r="B308" s="3231" t="s">
        <v>3154</v>
      </c>
      <c r="C308" s="3231">
        <v>5620</v>
      </c>
      <c r="D308" s="3231">
        <v>5580</v>
      </c>
      <c r="E308" s="3231">
        <v>6540</v>
      </c>
      <c r="F308" s="3231">
        <v>910</v>
      </c>
      <c r="G308" s="3244">
        <v>3370</v>
      </c>
    </row>
    <row r="309" spans="1:7" s="3220" customFormat="1" ht="14.25" customHeight="1">
      <c r="A309" s="3231" t="s">
        <v>306</v>
      </c>
      <c r="B309" s="3231" t="s">
        <v>3155</v>
      </c>
      <c r="C309" s="3231">
        <v>5060</v>
      </c>
      <c r="D309" s="3231">
        <v>5020</v>
      </c>
      <c r="E309" s="3231">
        <v>6370</v>
      </c>
      <c r="F309" s="3231">
        <v>800</v>
      </c>
      <c r="G309" s="3244">
        <v>3020</v>
      </c>
    </row>
    <row r="310" spans="1:7" s="3220" customFormat="1" ht="14.25" customHeight="1">
      <c r="A310" s="3231" t="s">
        <v>306</v>
      </c>
      <c r="B310" s="3231" t="s">
        <v>3004</v>
      </c>
      <c r="C310" s="3231">
        <v>5150</v>
      </c>
      <c r="D310" s="3231">
        <v>5110</v>
      </c>
      <c r="E310" s="3231">
        <v>6500</v>
      </c>
      <c r="F310" s="3231">
        <v>880</v>
      </c>
      <c r="G310" s="3244">
        <v>3080</v>
      </c>
    </row>
    <row r="311" spans="1:7" s="3220" customFormat="1" ht="14.25" customHeight="1">
      <c r="A311" s="3231" t="s">
        <v>306</v>
      </c>
      <c r="B311" s="3231" t="s">
        <v>3156</v>
      </c>
      <c r="C311" s="3231">
        <v>4750</v>
      </c>
      <c r="D311" s="3231">
        <v>4710</v>
      </c>
      <c r="E311" s="3231">
        <v>5510</v>
      </c>
      <c r="F311" s="3231">
        <v>880</v>
      </c>
      <c r="G311" s="3244">
        <v>2840</v>
      </c>
    </row>
    <row r="312" spans="1:7" s="3220" customFormat="1" ht="14.25" customHeight="1">
      <c r="A312" s="3231" t="s">
        <v>306</v>
      </c>
      <c r="B312" s="3231" t="s">
        <v>3014</v>
      </c>
      <c r="C312" s="3231">
        <v>4690</v>
      </c>
      <c r="D312" s="3231">
        <v>4640</v>
      </c>
      <c r="E312" s="3231">
        <v>5420</v>
      </c>
      <c r="F312" s="3231">
        <v>800</v>
      </c>
      <c r="G312" s="3244">
        <v>2800</v>
      </c>
    </row>
    <row r="313" spans="1:7" s="3220" customFormat="1" ht="14.25" customHeight="1">
      <c r="A313" s="3231" t="s">
        <v>306</v>
      </c>
      <c r="B313" s="3231" t="s">
        <v>3019</v>
      </c>
      <c r="C313" s="3231">
        <v>4810</v>
      </c>
      <c r="D313" s="3231">
        <v>4760</v>
      </c>
      <c r="E313" s="3231">
        <v>5550</v>
      </c>
      <c r="F313" s="3231">
        <v>920</v>
      </c>
      <c r="G313" s="3244">
        <v>2870</v>
      </c>
    </row>
    <row r="314" spans="1:7" s="3220" customFormat="1" ht="14.25" customHeight="1">
      <c r="A314" s="3231" t="s">
        <v>306</v>
      </c>
      <c r="B314" s="3231" t="s">
        <v>3157</v>
      </c>
      <c r="C314" s="3231"/>
      <c r="D314" s="3231"/>
      <c r="E314" s="3231"/>
      <c r="F314" s="3231">
        <v>1020</v>
      </c>
      <c r="G314" s="3244"/>
    </row>
    <row r="315" spans="1:7" s="3220" customFormat="1" ht="14.25" customHeight="1">
      <c r="A315" s="3231" t="s">
        <v>306</v>
      </c>
      <c r="B315" s="3231" t="s">
        <v>3158</v>
      </c>
      <c r="C315" s="3231"/>
      <c r="D315" s="3231"/>
      <c r="E315" s="3231"/>
      <c r="F315" s="3231">
        <v>1050</v>
      </c>
      <c r="G315" s="3244"/>
    </row>
    <row r="316" spans="1:7" s="3220" customFormat="1" ht="14.25" customHeight="1">
      <c r="A316" s="3231" t="s">
        <v>306</v>
      </c>
      <c r="B316" s="3231" t="s">
        <v>3034</v>
      </c>
      <c r="C316" s="3231"/>
      <c r="D316" s="3231"/>
      <c r="E316" s="3231"/>
      <c r="F316" s="3231">
        <v>900</v>
      </c>
      <c r="G316" s="3244"/>
    </row>
    <row r="317" spans="1:7" s="3220" customFormat="1" ht="14.25" customHeight="1">
      <c r="A317" s="3231" t="s">
        <v>306</v>
      </c>
      <c r="B317" s="3231" t="s">
        <v>3159</v>
      </c>
      <c r="C317" s="3231"/>
      <c r="D317" s="3231"/>
      <c r="E317" s="3231"/>
      <c r="F317" s="3231">
        <v>920</v>
      </c>
      <c r="G317" s="3244"/>
    </row>
    <row r="318" spans="1:7" s="3220" customFormat="1" ht="14.25" customHeight="1">
      <c r="A318" s="3231" t="s">
        <v>306</v>
      </c>
      <c r="B318" s="3231" t="s">
        <v>3160</v>
      </c>
      <c r="C318" s="3231"/>
      <c r="D318" s="3231"/>
      <c r="E318" s="3231"/>
      <c r="F318" s="3231">
        <v>1080</v>
      </c>
      <c r="G318" s="3244"/>
    </row>
    <row r="319" spans="1:7" s="3220" customFormat="1" ht="14.25" customHeight="1">
      <c r="A319" s="3231" t="s">
        <v>306</v>
      </c>
      <c r="B319" s="3231" t="s">
        <v>3047</v>
      </c>
      <c r="C319" s="3231"/>
      <c r="D319" s="3231"/>
      <c r="E319" s="3231"/>
      <c r="F319" s="3231">
        <v>1020</v>
      </c>
      <c r="G319" s="3244"/>
    </row>
    <row r="320" spans="1:7" s="3220" customFormat="1" ht="14.25" customHeight="1">
      <c r="A320" s="3231" t="s">
        <v>306</v>
      </c>
      <c r="B320" s="3231" t="s">
        <v>3050</v>
      </c>
      <c r="C320" s="3231"/>
      <c r="D320" s="3231"/>
      <c r="E320" s="3231"/>
      <c r="F320" s="3231">
        <v>1050</v>
      </c>
      <c r="G320" s="3244"/>
    </row>
    <row r="321" spans="1:7" s="3220" customFormat="1" ht="14.25" customHeight="1">
      <c r="A321" s="3231" t="s">
        <v>306</v>
      </c>
      <c r="B321" s="3231" t="s">
        <v>3052</v>
      </c>
      <c r="C321" s="3231"/>
      <c r="D321" s="3231"/>
      <c r="E321" s="3231"/>
      <c r="F321" s="3231">
        <v>960</v>
      </c>
      <c r="G321" s="3244"/>
    </row>
    <row r="322" spans="1:7" s="3220" customFormat="1" ht="14.25" customHeight="1">
      <c r="A322" s="3231" t="s">
        <v>306</v>
      </c>
      <c r="B322" s="3231" t="s">
        <v>3054</v>
      </c>
      <c r="C322" s="3231"/>
      <c r="D322" s="3231"/>
      <c r="E322" s="3231"/>
      <c r="F322" s="3231">
        <v>960</v>
      </c>
      <c r="G322" s="3244"/>
    </row>
    <row r="323" spans="1:7" s="3220" customFormat="1" ht="14.25" customHeight="1">
      <c r="A323" s="3231" t="s">
        <v>306</v>
      </c>
      <c r="B323" s="3231" t="s">
        <v>3056</v>
      </c>
      <c r="C323" s="3231"/>
      <c r="D323" s="3231"/>
      <c r="E323" s="3231"/>
      <c r="F323" s="3231">
        <v>880</v>
      </c>
      <c r="G323" s="3244"/>
    </row>
    <row r="324" spans="1:7" s="3220" customFormat="1" ht="14.25" customHeight="1">
      <c r="A324" s="3231" t="s">
        <v>306</v>
      </c>
      <c r="B324" s="3231" t="s">
        <v>3058</v>
      </c>
      <c r="C324" s="3231"/>
      <c r="D324" s="3231"/>
      <c r="E324" s="3231"/>
      <c r="F324" s="3231">
        <v>930</v>
      </c>
      <c r="G324" s="3244"/>
    </row>
    <row r="325" spans="1:7" s="3220" customFormat="1" ht="14.25" customHeight="1">
      <c r="A325" s="3231" t="s">
        <v>306</v>
      </c>
      <c r="B325" s="3232" t="s">
        <v>3060</v>
      </c>
      <c r="C325" s="3231"/>
      <c r="D325" s="3231"/>
      <c r="E325" s="3231"/>
      <c r="F325" s="3231">
        <v>900</v>
      </c>
      <c r="G325" s="3244"/>
    </row>
    <row r="326" spans="1:7" s="3220" customFormat="1" ht="14.25" customHeight="1" thickBot="1">
      <c r="A326" s="3245" t="s">
        <v>306</v>
      </c>
      <c r="B326" s="3238" t="s">
        <v>3062</v>
      </c>
      <c r="C326" s="3238"/>
      <c r="D326" s="3238"/>
      <c r="E326" s="3238"/>
      <c r="F326" s="3238">
        <v>790</v>
      </c>
      <c r="G326" s="3246"/>
    </row>
    <row r="327" spans="1:7" s="3220" customFormat="1" ht="14.25" customHeight="1">
      <c r="A327" s="3236" t="s">
        <v>307</v>
      </c>
      <c r="B327" s="3227" t="s">
        <v>3161</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3162</v>
      </c>
      <c r="C329" s="3231">
        <v>2730</v>
      </c>
      <c r="D329" s="3231">
        <v>2690</v>
      </c>
      <c r="E329" s="3231">
        <v>3100</v>
      </c>
      <c r="F329" s="3231">
        <v>660</v>
      </c>
      <c r="G329" s="3231">
        <v>1610</v>
      </c>
    </row>
    <row r="330" spans="1:7" s="3220" customFormat="1" ht="14.25" customHeight="1">
      <c r="A330" s="3231" t="s">
        <v>307</v>
      </c>
      <c r="B330" s="3231" t="s">
        <v>3163</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2896</v>
      </c>
      <c r="C332" s="3231">
        <v>3520</v>
      </c>
      <c r="D332" s="3231">
        <v>3480</v>
      </c>
      <c r="E332" s="3231">
        <v>3830</v>
      </c>
      <c r="F332" s="3231">
        <v>720</v>
      </c>
      <c r="G332" s="3231">
        <v>2090</v>
      </c>
    </row>
    <row r="333" spans="1:7" s="3220" customFormat="1" ht="14.25" customHeight="1">
      <c r="A333" s="3231" t="s">
        <v>307</v>
      </c>
      <c r="B333" s="3231" t="s">
        <v>3164</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2906</v>
      </c>
      <c r="C336" s="3231">
        <v>3570</v>
      </c>
      <c r="D336" s="3231">
        <v>3530</v>
      </c>
      <c r="E336" s="3231">
        <v>3880</v>
      </c>
      <c r="F336" s="3231">
        <v>770</v>
      </c>
      <c r="G336" s="3231">
        <v>2110</v>
      </c>
    </row>
    <row r="337" spans="1:10" s="3220" customFormat="1" ht="14.25" customHeight="1">
      <c r="A337" s="3231" t="s">
        <v>307</v>
      </c>
      <c r="B337" s="3231" t="s">
        <v>3165</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3166</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3167</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2931</v>
      </c>
      <c r="C345" s="3231">
        <v>3190</v>
      </c>
      <c r="D345" s="3231">
        <v>3140</v>
      </c>
      <c r="E345" s="3231">
        <v>3450</v>
      </c>
      <c r="F345" s="3231">
        <v>720</v>
      </c>
      <c r="G345" s="3231">
        <v>1880</v>
      </c>
      <c r="J345" s="3220"/>
    </row>
    <row r="346" spans="1:10">
      <c r="A346" s="3231" t="s">
        <v>307</v>
      </c>
      <c r="B346" s="3231" t="s">
        <v>3168</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2940</v>
      </c>
      <c r="C348" s="3231">
        <v>4000</v>
      </c>
      <c r="D348" s="3231">
        <v>3950</v>
      </c>
      <c r="E348" s="3231">
        <v>4430</v>
      </c>
      <c r="F348" s="3231">
        <v>760</v>
      </c>
      <c r="G348" s="3231">
        <v>2360</v>
      </c>
      <c r="J348" s="3220"/>
    </row>
    <row r="349" spans="1:10">
      <c r="A349" s="3231" t="s">
        <v>307</v>
      </c>
      <c r="B349" s="3231" t="s">
        <v>2945</v>
      </c>
      <c r="C349" s="3231">
        <v>3820</v>
      </c>
      <c r="D349" s="3231">
        <v>3780</v>
      </c>
      <c r="E349" s="3231">
        <v>4170</v>
      </c>
      <c r="F349" s="3231">
        <v>710</v>
      </c>
      <c r="G349" s="3231">
        <v>2260</v>
      </c>
      <c r="J349" s="3220"/>
    </row>
    <row r="350" spans="1:10">
      <c r="A350" s="3231" t="s">
        <v>307</v>
      </c>
      <c r="B350" s="3231" t="s">
        <v>3169</v>
      </c>
      <c r="C350" s="3231">
        <v>3760</v>
      </c>
      <c r="D350" s="3231">
        <v>3730</v>
      </c>
      <c r="E350" s="3231">
        <v>4100</v>
      </c>
      <c r="F350" s="3231">
        <v>800</v>
      </c>
      <c r="G350" s="3231">
        <v>2230</v>
      </c>
      <c r="J350" s="3220"/>
    </row>
    <row r="351" spans="1:10">
      <c r="A351" s="3231" t="s">
        <v>307</v>
      </c>
      <c r="B351" s="3231" t="s">
        <v>2953</v>
      </c>
      <c r="C351" s="3231">
        <v>3610</v>
      </c>
      <c r="D351" s="3231">
        <v>3580</v>
      </c>
      <c r="E351" s="3231">
        <v>3930</v>
      </c>
      <c r="F351" s="3231">
        <v>700</v>
      </c>
      <c r="G351" s="3231">
        <v>2140</v>
      </c>
      <c r="J351" s="3220"/>
    </row>
    <row r="352" spans="1:10">
      <c r="A352" s="3231" t="s">
        <v>307</v>
      </c>
      <c r="B352" s="3231" t="s">
        <v>2958</v>
      </c>
      <c r="C352" s="3231">
        <v>3670</v>
      </c>
      <c r="D352" s="3231">
        <v>3630</v>
      </c>
      <c r="E352" s="3231">
        <v>4000</v>
      </c>
      <c r="F352" s="3231">
        <v>750</v>
      </c>
      <c r="G352" s="3231">
        <v>2180</v>
      </c>
    </row>
    <row r="353" spans="1:7" s="3224" customFormat="1">
      <c r="A353" s="3231" t="s">
        <v>307</v>
      </c>
      <c r="B353" s="3231" t="s">
        <v>3170</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2978</v>
      </c>
      <c r="C355" s="3231">
        <v>3650</v>
      </c>
      <c r="D355" s="3231">
        <v>3610</v>
      </c>
      <c r="E355" s="3231">
        <v>4200</v>
      </c>
      <c r="F355" s="3231">
        <v>640</v>
      </c>
      <c r="G355" s="3231">
        <v>2160</v>
      </c>
    </row>
    <row r="356" spans="1:7" s="3224" customFormat="1">
      <c r="A356" s="3231" t="s">
        <v>307</v>
      </c>
      <c r="B356" s="3231" t="s">
        <v>2985</v>
      </c>
      <c r="C356" s="3231">
        <v>3260</v>
      </c>
      <c r="D356" s="3231">
        <v>3230</v>
      </c>
      <c r="E356" s="3231">
        <v>3740</v>
      </c>
      <c r="F356" s="3231">
        <v>600</v>
      </c>
      <c r="G356" s="3231">
        <v>1930</v>
      </c>
    </row>
    <row r="357" spans="1:7" s="3224" customFormat="1" ht="11.4" thickBot="1">
      <c r="A357" s="3239" t="s">
        <v>307</v>
      </c>
      <c r="B357" s="3242" t="s">
        <v>3171</v>
      </c>
      <c r="C357" s="3242">
        <v>3690</v>
      </c>
      <c r="D357" s="3242">
        <v>3650</v>
      </c>
      <c r="E357" s="3242">
        <v>4020</v>
      </c>
      <c r="F357" s="3242">
        <v>700</v>
      </c>
      <c r="G357" s="3242">
        <v>2190</v>
      </c>
    </row>
    <row r="358" spans="1:7" s="3224" customFormat="1">
      <c r="A358" s="3236" t="s">
        <v>3172</v>
      </c>
      <c r="B358" s="3227" t="s">
        <v>3173</v>
      </c>
      <c r="C358" s="3227">
        <v>2080</v>
      </c>
      <c r="D358" s="3227">
        <v>2040</v>
      </c>
      <c r="E358" s="3227">
        <v>2010</v>
      </c>
      <c r="F358" s="3227">
        <v>530</v>
      </c>
      <c r="G358" s="3243">
        <v>1230</v>
      </c>
    </row>
    <row r="359" spans="1:7" s="3224" customFormat="1">
      <c r="A359" s="3231" t="s">
        <v>3172</v>
      </c>
      <c r="B359" s="3231" t="s">
        <v>3174</v>
      </c>
      <c r="C359" s="3231">
        <v>1850</v>
      </c>
      <c r="D359" s="3231">
        <v>1820</v>
      </c>
      <c r="E359" s="3231">
        <v>1780</v>
      </c>
      <c r="F359" s="3231">
        <v>520</v>
      </c>
      <c r="G359" s="3244">
        <v>1100</v>
      </c>
    </row>
    <row r="360" spans="1:7" s="3224" customFormat="1">
      <c r="A360" s="3231" t="s">
        <v>3172</v>
      </c>
      <c r="B360" s="3231" t="s">
        <v>3175</v>
      </c>
      <c r="C360" s="3231">
        <v>2020</v>
      </c>
      <c r="D360" s="3231">
        <v>1990</v>
      </c>
      <c r="E360" s="3231">
        <v>1950</v>
      </c>
      <c r="F360" s="3231">
        <v>500</v>
      </c>
      <c r="G360" s="3244">
        <v>1200</v>
      </c>
    </row>
    <row r="361" spans="1:7" s="3224" customFormat="1">
      <c r="A361" s="3231" t="s">
        <v>3172</v>
      </c>
      <c r="B361" s="3231" t="s">
        <v>153</v>
      </c>
      <c r="C361" s="3231">
        <v>2260</v>
      </c>
      <c r="D361" s="3231">
        <v>2220</v>
      </c>
      <c r="E361" s="3231">
        <v>2180</v>
      </c>
      <c r="F361" s="3231">
        <v>580</v>
      </c>
      <c r="G361" s="3244">
        <v>1340</v>
      </c>
    </row>
    <row r="362" spans="1:7" s="3224" customFormat="1">
      <c r="A362" s="3231" t="s">
        <v>3172</v>
      </c>
      <c r="B362" s="3231" t="s">
        <v>3176</v>
      </c>
      <c r="C362" s="3231">
        <v>2650</v>
      </c>
      <c r="D362" s="3231">
        <v>2610</v>
      </c>
      <c r="E362" s="3231">
        <v>2570</v>
      </c>
      <c r="F362" s="3231">
        <v>630</v>
      </c>
      <c r="G362" s="3244">
        <v>1570</v>
      </c>
    </row>
    <row r="363" spans="1:7" s="3224" customFormat="1">
      <c r="A363" s="3231" t="s">
        <v>3172</v>
      </c>
      <c r="B363" s="3231" t="s">
        <v>2897</v>
      </c>
      <c r="C363" s="3231">
        <v>2390</v>
      </c>
      <c r="D363" s="3231">
        <v>2360</v>
      </c>
      <c r="E363" s="3231">
        <v>2320</v>
      </c>
      <c r="F363" s="3231">
        <v>600</v>
      </c>
      <c r="G363" s="3244">
        <v>1420</v>
      </c>
    </row>
    <row r="364" spans="1:7" s="3224" customFormat="1">
      <c r="A364" s="3231" t="s">
        <v>3172</v>
      </c>
      <c r="B364" s="3231" t="s">
        <v>3177</v>
      </c>
      <c r="C364" s="3231">
        <v>2050</v>
      </c>
      <c r="D364" s="3231">
        <v>2030</v>
      </c>
      <c r="E364" s="3231">
        <v>1990</v>
      </c>
      <c r="F364" s="3231">
        <v>550</v>
      </c>
      <c r="G364" s="3244">
        <v>1220</v>
      </c>
    </row>
    <row r="365" spans="1:7" s="3224" customFormat="1">
      <c r="A365" s="3231" t="s">
        <v>3172</v>
      </c>
      <c r="B365" s="3231" t="s">
        <v>200</v>
      </c>
      <c r="C365" s="3231">
        <v>2140</v>
      </c>
      <c r="D365" s="3231">
        <v>2100</v>
      </c>
      <c r="E365" s="3231">
        <v>2060</v>
      </c>
      <c r="F365" s="3231">
        <v>540</v>
      </c>
      <c r="G365" s="3244">
        <v>1270</v>
      </c>
    </row>
    <row r="366" spans="1:7" s="3224" customFormat="1">
      <c r="A366" s="3231" t="s">
        <v>3172</v>
      </c>
      <c r="B366" s="3231" t="s">
        <v>2904</v>
      </c>
      <c r="C366" s="3231">
        <v>2410</v>
      </c>
      <c r="D366" s="3231">
        <v>2370</v>
      </c>
      <c r="E366" s="3231">
        <v>2330</v>
      </c>
      <c r="F366" s="3231">
        <v>570</v>
      </c>
      <c r="G366" s="3244">
        <v>1440</v>
      </c>
    </row>
    <row r="367" spans="1:7" s="3224" customFormat="1">
      <c r="A367" s="3231" t="s">
        <v>3172</v>
      </c>
      <c r="B367" s="3231" t="s">
        <v>3178</v>
      </c>
      <c r="C367" s="3231">
        <v>2300</v>
      </c>
      <c r="D367" s="3231">
        <v>2260</v>
      </c>
      <c r="E367" s="3231">
        <v>2220</v>
      </c>
      <c r="F367" s="3231">
        <v>560</v>
      </c>
      <c r="G367" s="3244">
        <v>1370</v>
      </c>
    </row>
    <row r="368" spans="1:7" s="3224" customFormat="1">
      <c r="A368" s="3231" t="s">
        <v>3172</v>
      </c>
      <c r="B368" s="3231" t="s">
        <v>3179</v>
      </c>
      <c r="C368" s="3231">
        <v>2430</v>
      </c>
      <c r="D368" s="3231">
        <v>2390</v>
      </c>
      <c r="E368" s="3231">
        <v>2350</v>
      </c>
      <c r="F368" s="3231">
        <v>570</v>
      </c>
      <c r="G368" s="3244">
        <v>1450</v>
      </c>
    </row>
    <row r="369" spans="1:7" s="3224" customFormat="1">
      <c r="A369" s="3231" t="s">
        <v>3172</v>
      </c>
      <c r="B369" s="3231" t="s">
        <v>214</v>
      </c>
      <c r="C369" s="3231">
        <v>2320</v>
      </c>
      <c r="D369" s="3231">
        <v>2290</v>
      </c>
      <c r="E369" s="3231">
        <v>2250</v>
      </c>
      <c r="F369" s="3231">
        <v>550</v>
      </c>
      <c r="G369" s="3244">
        <v>1380</v>
      </c>
    </row>
    <row r="370" spans="1:7" s="3224" customFormat="1">
      <c r="A370" s="3231" t="s">
        <v>3172</v>
      </c>
      <c r="B370" s="3231" t="s">
        <v>221</v>
      </c>
      <c r="C370" s="3231">
        <v>2190</v>
      </c>
      <c r="D370" s="3231">
        <v>2170</v>
      </c>
      <c r="E370" s="3231">
        <v>2130</v>
      </c>
      <c r="F370" s="3231">
        <v>530</v>
      </c>
      <c r="G370" s="3244">
        <v>1310</v>
      </c>
    </row>
    <row r="371" spans="1:7" s="3224" customFormat="1">
      <c r="A371" s="3231" t="s">
        <v>3172</v>
      </c>
      <c r="B371" s="3231" t="s">
        <v>229</v>
      </c>
      <c r="C371" s="3231">
        <v>2460</v>
      </c>
      <c r="D371" s="3231">
        <v>2420</v>
      </c>
      <c r="E371" s="3231">
        <v>2370</v>
      </c>
      <c r="F371" s="3231">
        <v>560</v>
      </c>
      <c r="G371" s="3244">
        <v>1470</v>
      </c>
    </row>
    <row r="372" spans="1:7" s="3224" customFormat="1">
      <c r="A372" s="3231" t="s">
        <v>3172</v>
      </c>
      <c r="B372" s="3231" t="s">
        <v>3180</v>
      </c>
      <c r="C372" s="3231">
        <v>2250</v>
      </c>
      <c r="D372" s="3231">
        <v>2210</v>
      </c>
      <c r="E372" s="3231">
        <v>2180</v>
      </c>
      <c r="F372" s="3231">
        <v>550</v>
      </c>
      <c r="G372" s="3244">
        <v>1340</v>
      </c>
    </row>
    <row r="373" spans="1:7" s="3224" customFormat="1">
      <c r="A373" s="3231" t="s">
        <v>3172</v>
      </c>
      <c r="B373" s="3231" t="s">
        <v>258</v>
      </c>
      <c r="C373" s="3231">
        <v>2210</v>
      </c>
      <c r="D373" s="3231">
        <v>2190</v>
      </c>
      <c r="E373" s="3231">
        <v>2150</v>
      </c>
      <c r="F373" s="3231">
        <v>530</v>
      </c>
      <c r="G373" s="3244">
        <v>1320</v>
      </c>
    </row>
    <row r="374" spans="1:7" s="3224" customFormat="1">
      <c r="A374" s="3231" t="s">
        <v>3172</v>
      </c>
      <c r="B374" s="3231" t="s">
        <v>266</v>
      </c>
      <c r="C374" s="3231">
        <v>2320</v>
      </c>
      <c r="D374" s="3231">
        <v>2280</v>
      </c>
      <c r="E374" s="3231">
        <v>2230</v>
      </c>
      <c r="F374" s="3231">
        <v>580</v>
      </c>
      <c r="G374" s="3244">
        <v>1380</v>
      </c>
    </row>
    <row r="375" spans="1:7" s="3224" customFormat="1">
      <c r="A375" s="3231" t="s">
        <v>3172</v>
      </c>
      <c r="B375" s="3231" t="s">
        <v>3181</v>
      </c>
      <c r="C375" s="3231">
        <v>2090</v>
      </c>
      <c r="D375" s="3231">
        <v>2050</v>
      </c>
      <c r="E375" s="3231">
        <v>2020</v>
      </c>
      <c r="F375" s="3231">
        <v>520</v>
      </c>
      <c r="G375" s="3244">
        <v>1240</v>
      </c>
    </row>
    <row r="376" spans="1:7" s="3224" customFormat="1">
      <c r="A376" s="3231" t="s">
        <v>3172</v>
      </c>
      <c r="B376" s="3231" t="s">
        <v>277</v>
      </c>
      <c r="C376" s="3231">
        <v>2010</v>
      </c>
      <c r="D376" s="3231">
        <v>1980</v>
      </c>
      <c r="E376" s="3231">
        <v>1940</v>
      </c>
      <c r="F376" s="3231">
        <v>540</v>
      </c>
      <c r="G376" s="3244">
        <v>1190</v>
      </c>
    </row>
    <row r="377" spans="1:7" s="3224" customFormat="1" ht="11.4" thickBot="1">
      <c r="A377" s="3239" t="s">
        <v>3172</v>
      </c>
      <c r="B377" s="3242" t="s">
        <v>2934</v>
      </c>
      <c r="C377" s="3242">
        <v>1930</v>
      </c>
      <c r="D377" s="3242">
        <v>1890</v>
      </c>
      <c r="E377" s="3242">
        <v>1860</v>
      </c>
      <c r="F377" s="3242">
        <v>530</v>
      </c>
      <c r="G377" s="3247">
        <v>1150</v>
      </c>
    </row>
    <row r="378" spans="1:7" s="3224" customFormat="1">
      <c r="A378" s="3248" t="s">
        <v>3182</v>
      </c>
      <c r="B378" s="3227" t="s">
        <v>3183</v>
      </c>
      <c r="C378" s="3227">
        <v>1520</v>
      </c>
      <c r="D378" s="3227">
        <v>1490</v>
      </c>
      <c r="E378" s="3227">
        <v>1460</v>
      </c>
      <c r="F378" s="3227">
        <v>460</v>
      </c>
      <c r="G378" s="3243">
        <v>940</v>
      </c>
    </row>
    <row r="379" spans="1:7" s="3224" customFormat="1">
      <c r="A379" s="3249" t="s">
        <v>3182</v>
      </c>
      <c r="B379" s="3231" t="s">
        <v>3184</v>
      </c>
      <c r="C379" s="3231">
        <v>1500</v>
      </c>
      <c r="D379" s="3231">
        <v>1470</v>
      </c>
      <c r="E379" s="3231">
        <v>1430</v>
      </c>
      <c r="F379" s="3231">
        <v>460</v>
      </c>
      <c r="G379" s="3244">
        <v>920</v>
      </c>
    </row>
    <row r="380" spans="1:7" s="3224" customFormat="1">
      <c r="A380" s="3249" t="s">
        <v>3182</v>
      </c>
      <c r="B380" s="3231" t="s">
        <v>3185</v>
      </c>
      <c r="C380" s="3231">
        <v>1620</v>
      </c>
      <c r="D380" s="3231">
        <v>1590</v>
      </c>
      <c r="E380" s="3231">
        <v>1560</v>
      </c>
      <c r="F380" s="3231">
        <v>480</v>
      </c>
      <c r="G380" s="3244">
        <v>1000</v>
      </c>
    </row>
    <row r="381" spans="1:7" s="3224" customFormat="1">
      <c r="A381" s="3249" t="s">
        <v>3182</v>
      </c>
      <c r="B381" s="3231" t="s">
        <v>3186</v>
      </c>
      <c r="C381" s="3231">
        <v>1460</v>
      </c>
      <c r="D381" s="3231">
        <v>1430</v>
      </c>
      <c r="E381" s="3231">
        <v>1390</v>
      </c>
      <c r="F381" s="3231">
        <v>450</v>
      </c>
      <c r="G381" s="3244">
        <v>900</v>
      </c>
    </row>
    <row r="382" spans="1:7" s="3224" customFormat="1">
      <c r="A382" s="3249" t="s">
        <v>3182</v>
      </c>
      <c r="B382" s="3231" t="s">
        <v>3187</v>
      </c>
      <c r="C382" s="3231">
        <v>1310</v>
      </c>
      <c r="D382" s="3231">
        <v>1280</v>
      </c>
      <c r="E382" s="3231">
        <v>1250</v>
      </c>
      <c r="F382" s="3231">
        <v>440</v>
      </c>
      <c r="G382" s="3244">
        <v>800</v>
      </c>
    </row>
    <row r="383" spans="1:7" s="3224" customFormat="1">
      <c r="A383" s="3249" t="s">
        <v>3182</v>
      </c>
      <c r="B383" s="3231" t="s">
        <v>3188</v>
      </c>
      <c r="C383" s="3231">
        <v>1260</v>
      </c>
      <c r="D383" s="3231">
        <v>1230</v>
      </c>
      <c r="E383" s="3231">
        <v>1200</v>
      </c>
      <c r="F383" s="3231">
        <v>420</v>
      </c>
      <c r="G383" s="3244">
        <v>770</v>
      </c>
    </row>
    <row r="384" spans="1:7" s="3224" customFormat="1" ht="11.4" thickBot="1">
      <c r="A384" s="3250" t="s">
        <v>3182</v>
      </c>
      <c r="B384" s="3238" t="s">
        <v>3189</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783" t="s">
        <v>3190</v>
      </c>
      <c r="B1" s="3783"/>
    </row>
    <row r="2" spans="1:7" ht="15" thickBot="1">
      <c r="A2" s="3253"/>
      <c r="B2" s="3253"/>
    </row>
    <row r="3" spans="1:7" ht="15" thickBot="1">
      <c r="A3" s="3253"/>
      <c r="B3" s="3253"/>
      <c r="C3" s="3254" t="s">
        <v>2814</v>
      </c>
      <c r="D3" s="3254" t="s">
        <v>2876</v>
      </c>
      <c r="E3" s="3254" t="s">
        <v>2816</v>
      </c>
      <c r="F3" s="3254" t="s">
        <v>2877</v>
      </c>
      <c r="G3" s="3254" t="s">
        <v>2634</v>
      </c>
    </row>
    <row r="4" spans="1:7" ht="15" thickBot="1">
      <c r="A4" s="3255" t="s">
        <v>2875</v>
      </c>
      <c r="B4" s="3256" t="s">
        <v>2881</v>
      </c>
      <c r="C4" s="3254"/>
      <c r="D4" s="3254"/>
      <c r="E4" s="3254"/>
      <c r="F4" s="3254"/>
      <c r="G4" s="3254"/>
    </row>
    <row r="5" spans="1:7">
      <c r="A5" s="3257" t="s">
        <v>2849</v>
      </c>
      <c r="B5" s="3258" t="s">
        <v>2863</v>
      </c>
      <c r="C5" s="3259">
        <v>9.8000000000000004E-2</v>
      </c>
      <c r="D5" s="3259">
        <v>8.6999999999999994E-2</v>
      </c>
      <c r="E5" s="3259">
        <v>8.6999999999999994E-2</v>
      </c>
      <c r="F5" s="3259">
        <v>9.8000000000000004E-2</v>
      </c>
      <c r="G5" s="3260">
        <v>9.5000000000000001E-2</v>
      </c>
    </row>
    <row r="6" spans="1:7">
      <c r="A6" s="3261" t="s">
        <v>144</v>
      </c>
      <c r="B6" s="3262" t="s">
        <v>2878</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2864</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2914</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2932</v>
      </c>
      <c r="C29" s="3271"/>
      <c r="D29" s="3267">
        <v>5.1999999999999998E-2</v>
      </c>
      <c r="E29" s="3267">
        <v>7.0000000000000007E-2</v>
      </c>
      <c r="F29" s="3271"/>
      <c r="G29" s="3269">
        <v>7.0999999999999994E-2</v>
      </c>
    </row>
    <row r="30" spans="1:7">
      <c r="A30" s="3272" t="s">
        <v>296</v>
      </c>
      <c r="B30" s="3258" t="s">
        <v>2865</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2851</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2935</v>
      </c>
      <c r="C50" s="3263">
        <v>9.8000000000000004E-2</v>
      </c>
      <c r="D50" s="3263">
        <v>7.2999999999999995E-2</v>
      </c>
      <c r="E50" s="3263">
        <v>7.0999999999999994E-2</v>
      </c>
      <c r="F50" s="3274"/>
      <c r="G50" s="3264">
        <v>7.2999999999999995E-2</v>
      </c>
    </row>
    <row r="51" spans="1:7">
      <c r="A51" s="3273" t="s">
        <v>296</v>
      </c>
      <c r="B51" s="3262" t="s">
        <v>2937</v>
      </c>
      <c r="C51" s="3263">
        <v>9.9000000000000005E-2</v>
      </c>
      <c r="D51" s="3263">
        <v>8.5000000000000006E-2</v>
      </c>
      <c r="E51" s="3263">
        <v>6.3E-2</v>
      </c>
      <c r="F51" s="3274"/>
      <c r="G51" s="3264">
        <v>9.6000000000000002E-2</v>
      </c>
    </row>
    <row r="52" spans="1:7">
      <c r="A52" s="3273" t="s">
        <v>296</v>
      </c>
      <c r="B52" s="3262" t="s">
        <v>2941</v>
      </c>
      <c r="C52" s="3263">
        <v>7.3999999999999996E-2</v>
      </c>
      <c r="D52" s="3263">
        <v>9.6000000000000002E-2</v>
      </c>
      <c r="E52" s="3263">
        <v>0.05</v>
      </c>
      <c r="F52" s="3274"/>
      <c r="G52" s="3264">
        <v>9.8000000000000004E-2</v>
      </c>
    </row>
    <row r="53" spans="1:7">
      <c r="A53" s="3273" t="s">
        <v>296</v>
      </c>
      <c r="B53" s="3262" t="s">
        <v>2946</v>
      </c>
      <c r="C53" s="3263">
        <v>8.5999999999999993E-2</v>
      </c>
      <c r="D53" s="3274"/>
      <c r="E53" s="3263">
        <v>9.1999999999999998E-2</v>
      </c>
      <c r="F53" s="3274"/>
      <c r="G53" s="3275"/>
    </row>
    <row r="54" spans="1:7" ht="15" thickBot="1">
      <c r="A54" s="3276" t="s">
        <v>296</v>
      </c>
      <c r="B54" s="3266" t="s">
        <v>2949</v>
      </c>
      <c r="C54" s="3267">
        <v>9.6000000000000002E-2</v>
      </c>
      <c r="D54" s="3268"/>
      <c r="E54" s="3277"/>
      <c r="F54" s="3268"/>
      <c r="G54" s="3278"/>
    </row>
    <row r="55" spans="1:7">
      <c r="A55" s="3272" t="s">
        <v>110</v>
      </c>
      <c r="B55" s="3258" t="s">
        <v>2866</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2947</v>
      </c>
      <c r="C78" s="3263">
        <v>0.1</v>
      </c>
      <c r="D78" s="3263">
        <v>8.5000000000000006E-2</v>
      </c>
      <c r="E78" s="3263">
        <v>9.6000000000000002E-2</v>
      </c>
      <c r="F78" s="3274"/>
      <c r="G78" s="3264">
        <v>9.6000000000000002E-2</v>
      </c>
    </row>
    <row r="79" spans="1:7">
      <c r="A79" s="3273" t="s">
        <v>110</v>
      </c>
      <c r="B79" s="3262" t="s">
        <v>2950</v>
      </c>
      <c r="C79" s="3263">
        <v>0.05</v>
      </c>
      <c r="D79" s="3263">
        <v>9.6000000000000002E-2</v>
      </c>
      <c r="E79" s="3263">
        <v>9.5000000000000001E-2</v>
      </c>
      <c r="F79" s="3274"/>
      <c r="G79" s="3264">
        <v>9.8000000000000004E-2</v>
      </c>
    </row>
    <row r="80" spans="1:7">
      <c r="A80" s="3273" t="s">
        <v>110</v>
      </c>
      <c r="B80" s="3262" t="s">
        <v>2954</v>
      </c>
      <c r="C80" s="3263">
        <v>8.5999999999999993E-2</v>
      </c>
      <c r="D80" s="3279"/>
      <c r="E80" s="3263">
        <v>0.1</v>
      </c>
      <c r="F80" s="3274"/>
      <c r="G80" s="3275"/>
    </row>
    <row r="81" spans="1:7">
      <c r="A81" s="3273" t="s">
        <v>110</v>
      </c>
      <c r="B81" s="3262" t="s">
        <v>2959</v>
      </c>
      <c r="C81" s="3263">
        <v>9.6000000000000002E-2</v>
      </c>
      <c r="D81" s="3274"/>
      <c r="E81" s="3263">
        <v>9.8000000000000004E-2</v>
      </c>
      <c r="F81" s="3274"/>
      <c r="G81" s="3275"/>
    </row>
    <row r="82" spans="1:7">
      <c r="A82" s="3273" t="s">
        <v>110</v>
      </c>
      <c r="B82" s="3262" t="s">
        <v>2966</v>
      </c>
      <c r="C82" s="3279"/>
      <c r="D82" s="3274"/>
      <c r="E82" s="3263">
        <v>7.6999999999999999E-2</v>
      </c>
      <c r="F82" s="3274"/>
      <c r="G82" s="3275"/>
    </row>
    <row r="83" spans="1:7">
      <c r="A83" s="3273" t="s">
        <v>110</v>
      </c>
      <c r="B83" s="3262" t="s">
        <v>2972</v>
      </c>
      <c r="C83" s="3274"/>
      <c r="D83" s="3274"/>
      <c r="E83" s="3274"/>
      <c r="F83" s="3263">
        <v>0.1</v>
      </c>
      <c r="G83" s="3280"/>
    </row>
    <row r="84" spans="1:7">
      <c r="A84" s="3273" t="s">
        <v>110</v>
      </c>
      <c r="B84" s="3262" t="s">
        <v>2979</v>
      </c>
      <c r="C84" s="3274"/>
      <c r="D84" s="3274"/>
      <c r="E84" s="3274"/>
      <c r="F84" s="3263">
        <v>0.1</v>
      </c>
      <c r="G84" s="3280"/>
    </row>
    <row r="85" spans="1:7">
      <c r="A85" s="3273" t="s">
        <v>110</v>
      </c>
      <c r="B85" s="3262" t="s">
        <v>2986</v>
      </c>
      <c r="C85" s="3274"/>
      <c r="D85" s="3274"/>
      <c r="E85" s="3274"/>
      <c r="F85" s="3263">
        <v>0.1</v>
      </c>
      <c r="G85" s="3280"/>
    </row>
    <row r="86" spans="1:7" ht="15" thickBot="1">
      <c r="A86" s="3276" t="s">
        <v>110</v>
      </c>
      <c r="B86" s="3266" t="s">
        <v>2991</v>
      </c>
      <c r="C86" s="3267">
        <v>9.8000000000000004E-2</v>
      </c>
      <c r="D86" s="3267">
        <v>9.8000000000000004E-2</v>
      </c>
      <c r="E86" s="3267">
        <v>9.6000000000000002E-2</v>
      </c>
      <c r="F86" s="3277"/>
      <c r="G86" s="3269">
        <v>0.1</v>
      </c>
    </row>
    <row r="87" spans="1:7">
      <c r="A87" s="3272" t="s">
        <v>303</v>
      </c>
      <c r="B87" s="3258" t="s">
        <v>2867</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2960</v>
      </c>
      <c r="C113" s="3263">
        <v>0.1</v>
      </c>
      <c r="D113" s="3263">
        <v>0.1</v>
      </c>
      <c r="E113" s="3274"/>
      <c r="F113" s="3274"/>
      <c r="G113" s="3264">
        <v>0.1</v>
      </c>
    </row>
    <row r="114" spans="1:7">
      <c r="A114" s="3273" t="s">
        <v>303</v>
      </c>
      <c r="B114" s="3262" t="s">
        <v>2967</v>
      </c>
      <c r="C114" s="3263">
        <v>9.7000000000000003E-2</v>
      </c>
      <c r="D114" s="3263">
        <v>9.7000000000000003E-2</v>
      </c>
      <c r="E114" s="3274"/>
      <c r="F114" s="3274"/>
      <c r="G114" s="3264">
        <v>9.9000000000000005E-2</v>
      </c>
    </row>
    <row r="115" spans="1:7">
      <c r="A115" s="3273" t="s">
        <v>303</v>
      </c>
      <c r="B115" s="3262" t="s">
        <v>2973</v>
      </c>
      <c r="C115" s="3263">
        <v>0.1</v>
      </c>
      <c r="D115" s="3263">
        <v>0.1</v>
      </c>
      <c r="E115" s="3274"/>
      <c r="F115" s="3274"/>
      <c r="G115" s="3264">
        <v>0.1</v>
      </c>
    </row>
    <row r="116" spans="1:7">
      <c r="A116" s="3273" t="s">
        <v>303</v>
      </c>
      <c r="B116" s="3262" t="s">
        <v>2980</v>
      </c>
      <c r="C116" s="3263">
        <v>0.1</v>
      </c>
      <c r="D116" s="3263">
        <v>0.1</v>
      </c>
      <c r="E116" s="3274"/>
      <c r="F116" s="3274"/>
      <c r="G116" s="3264">
        <v>0.1</v>
      </c>
    </row>
    <row r="117" spans="1:7">
      <c r="A117" s="3273" t="s">
        <v>303</v>
      </c>
      <c r="B117" s="3262" t="s">
        <v>2987</v>
      </c>
      <c r="C117" s="3263">
        <v>9.7000000000000003E-2</v>
      </c>
      <c r="D117" s="3263">
        <v>9.7000000000000003E-2</v>
      </c>
      <c r="E117" s="3274"/>
      <c r="F117" s="3274"/>
      <c r="G117" s="3264">
        <v>9.7000000000000003E-2</v>
      </c>
    </row>
    <row r="118" spans="1:7">
      <c r="A118" s="3273" t="s">
        <v>303</v>
      </c>
      <c r="B118" s="3262" t="s">
        <v>2992</v>
      </c>
      <c r="C118" s="3263">
        <v>0.1</v>
      </c>
      <c r="D118" s="3263">
        <v>0.1</v>
      </c>
      <c r="E118" s="3274"/>
      <c r="F118" s="3274"/>
      <c r="G118" s="3264">
        <v>0.1</v>
      </c>
    </row>
    <row r="119" spans="1:7">
      <c r="A119" s="3273" t="s">
        <v>303</v>
      </c>
      <c r="B119" s="3262" t="s">
        <v>2996</v>
      </c>
      <c r="C119" s="3263">
        <v>5.0999999999999997E-2</v>
      </c>
      <c r="D119" s="3263">
        <v>5.1999999999999998E-2</v>
      </c>
      <c r="E119" s="3274"/>
      <c r="F119" s="3279"/>
      <c r="G119" s="3264">
        <v>0.06</v>
      </c>
    </row>
    <row r="120" spans="1:7">
      <c r="A120" s="3273" t="s">
        <v>303</v>
      </c>
      <c r="B120" s="3262" t="s">
        <v>3000</v>
      </c>
      <c r="C120" s="3274"/>
      <c r="D120" s="3274"/>
      <c r="E120" s="3274"/>
      <c r="F120" s="3263">
        <v>0.1</v>
      </c>
      <c r="G120" s="3280"/>
    </row>
    <row r="121" spans="1:7">
      <c r="A121" s="3273" t="s">
        <v>303</v>
      </c>
      <c r="B121" s="3262" t="s">
        <v>3005</v>
      </c>
      <c r="C121" s="3274"/>
      <c r="D121" s="3274"/>
      <c r="E121" s="3274"/>
      <c r="F121" s="3263">
        <v>0.1</v>
      </c>
      <c r="G121" s="3280"/>
    </row>
    <row r="122" spans="1:7">
      <c r="A122" s="3273" t="s">
        <v>303</v>
      </c>
      <c r="B122" s="3262" t="s">
        <v>3010</v>
      </c>
      <c r="C122" s="3263">
        <v>0.1</v>
      </c>
      <c r="D122" s="3263">
        <v>0.1</v>
      </c>
      <c r="E122" s="3263">
        <v>9.8000000000000004E-2</v>
      </c>
      <c r="F122" s="3263">
        <v>0.1</v>
      </c>
      <c r="G122" s="3264">
        <v>0.1</v>
      </c>
    </row>
    <row r="123" spans="1:7">
      <c r="A123" s="3273" t="s">
        <v>303</v>
      </c>
      <c r="B123" s="3262" t="s">
        <v>3015</v>
      </c>
      <c r="C123" s="3263">
        <v>0.1</v>
      </c>
      <c r="D123" s="3263">
        <v>0.1</v>
      </c>
      <c r="E123" s="3263">
        <v>9.8000000000000004E-2</v>
      </c>
      <c r="F123" s="3263">
        <v>0.1</v>
      </c>
      <c r="G123" s="3264">
        <v>0.1</v>
      </c>
    </row>
    <row r="124" spans="1:7">
      <c r="A124" s="3273" t="s">
        <v>303</v>
      </c>
      <c r="B124" s="3262" t="s">
        <v>3020</v>
      </c>
      <c r="C124" s="3263">
        <v>0.1</v>
      </c>
      <c r="D124" s="3263">
        <v>0.1</v>
      </c>
      <c r="E124" s="3263">
        <v>9.8000000000000004E-2</v>
      </c>
      <c r="F124" s="3279"/>
      <c r="G124" s="3264">
        <v>0.1</v>
      </c>
    </row>
    <row r="125" spans="1:7">
      <c r="A125" s="3273" t="s">
        <v>303</v>
      </c>
      <c r="B125" s="3262" t="s">
        <v>3025</v>
      </c>
      <c r="C125" s="3263">
        <v>9.8000000000000004E-2</v>
      </c>
      <c r="D125" s="3263">
        <v>9.8000000000000004E-2</v>
      </c>
      <c r="E125" s="3263">
        <v>9.6000000000000002E-2</v>
      </c>
      <c r="F125" s="3279"/>
      <c r="G125" s="3264">
        <v>0.1</v>
      </c>
    </row>
    <row r="126" spans="1:7" ht="15" thickBot="1">
      <c r="A126" s="3276" t="s">
        <v>303</v>
      </c>
      <c r="B126" s="3266" t="s">
        <v>3191</v>
      </c>
      <c r="C126" s="3267">
        <v>0.1</v>
      </c>
      <c r="D126" s="3267">
        <v>0.1</v>
      </c>
      <c r="E126" s="3267">
        <v>9.8000000000000004E-2</v>
      </c>
      <c r="F126" s="3267">
        <v>0.1</v>
      </c>
      <c r="G126" s="3269">
        <v>0.1</v>
      </c>
    </row>
    <row r="127" spans="1:7">
      <c r="A127" s="3272" t="s">
        <v>29</v>
      </c>
      <c r="B127" s="3258" t="s">
        <v>2868</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2938</v>
      </c>
      <c r="C148" s="3263">
        <v>0.13</v>
      </c>
      <c r="D148" s="3263">
        <v>0.13</v>
      </c>
      <c r="E148" s="3263">
        <v>0.13</v>
      </c>
      <c r="F148" s="3274"/>
      <c r="G148" s="3264">
        <v>0.13</v>
      </c>
    </row>
    <row r="149" spans="1:7">
      <c r="A149" s="3273" t="s">
        <v>29</v>
      </c>
      <c r="B149" s="3262" t="s">
        <v>2942</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2961</v>
      </c>
      <c r="C153" s="3263">
        <v>0.13</v>
      </c>
      <c r="D153" s="3263">
        <v>0.13</v>
      </c>
      <c r="E153" s="3263">
        <v>0.13</v>
      </c>
      <c r="F153" s="3263">
        <v>0.13</v>
      </c>
      <c r="G153" s="3264">
        <v>0.13</v>
      </c>
    </row>
    <row r="154" spans="1:7">
      <c r="A154" s="3273" t="s">
        <v>29</v>
      </c>
      <c r="B154" s="3262" t="s">
        <v>2968</v>
      </c>
      <c r="C154" s="3263">
        <v>0.121</v>
      </c>
      <c r="D154" s="3263">
        <v>0.121</v>
      </c>
      <c r="E154" s="3263">
        <v>0.105</v>
      </c>
      <c r="F154" s="3263">
        <v>0.121</v>
      </c>
      <c r="G154" s="3264">
        <v>0.123</v>
      </c>
    </row>
    <row r="155" spans="1:7">
      <c r="A155" s="3273" t="s">
        <v>29</v>
      </c>
      <c r="B155" s="3262" t="s">
        <v>2974</v>
      </c>
      <c r="C155" s="3263">
        <v>0.1</v>
      </c>
      <c r="D155" s="3263">
        <v>0.1</v>
      </c>
      <c r="E155" s="3263">
        <v>0.1</v>
      </c>
      <c r="F155" s="3263">
        <v>0.1</v>
      </c>
      <c r="G155" s="3264">
        <v>0.1</v>
      </c>
    </row>
    <row r="156" spans="1:7">
      <c r="A156" s="3273" t="s">
        <v>29</v>
      </c>
      <c r="B156" s="3262" t="s">
        <v>2981</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3001</v>
      </c>
      <c r="C160" s="3263">
        <v>0.13</v>
      </c>
      <c r="D160" s="3263">
        <v>0.13</v>
      </c>
      <c r="E160" s="3263">
        <v>0.124</v>
      </c>
      <c r="F160" s="3263">
        <v>0.126</v>
      </c>
      <c r="G160" s="3264">
        <v>0.13</v>
      </c>
    </row>
    <row r="161" spans="1:7">
      <c r="A161" s="3273" t="s">
        <v>29</v>
      </c>
      <c r="B161" s="3262" t="s">
        <v>3006</v>
      </c>
      <c r="C161" s="3263">
        <v>0.13</v>
      </c>
      <c r="D161" s="3263">
        <v>0.13</v>
      </c>
      <c r="E161" s="3263">
        <v>0.124</v>
      </c>
      <c r="F161" s="3263">
        <v>0.127</v>
      </c>
      <c r="G161" s="3264">
        <v>0.13</v>
      </c>
    </row>
    <row r="162" spans="1:7">
      <c r="A162" s="3273" t="s">
        <v>29</v>
      </c>
      <c r="B162" s="3262" t="s">
        <v>3011</v>
      </c>
      <c r="C162" s="3263">
        <v>0.1</v>
      </c>
      <c r="D162" s="3263">
        <v>0.1</v>
      </c>
      <c r="E162" s="3263">
        <v>0.1</v>
      </c>
      <c r="F162" s="3263">
        <v>0.121</v>
      </c>
      <c r="G162" s="3264">
        <v>0.105</v>
      </c>
    </row>
    <row r="163" spans="1:7">
      <c r="A163" s="3273" t="s">
        <v>29</v>
      </c>
      <c r="B163" s="3262" t="s">
        <v>3016</v>
      </c>
      <c r="C163" s="3263">
        <v>0.1</v>
      </c>
      <c r="D163" s="3263">
        <v>0.1</v>
      </c>
      <c r="E163" s="3263">
        <v>0.1</v>
      </c>
      <c r="F163" s="3263">
        <v>0.1</v>
      </c>
      <c r="G163" s="3264">
        <v>0.1</v>
      </c>
    </row>
    <row r="164" spans="1:7">
      <c r="A164" s="3273" t="s">
        <v>29</v>
      </c>
      <c r="B164" s="3262" t="s">
        <v>3021</v>
      </c>
      <c r="C164" s="3279"/>
      <c r="D164" s="3279"/>
      <c r="E164" s="3279"/>
      <c r="F164" s="3263">
        <v>0.1</v>
      </c>
      <c r="G164" s="3275"/>
    </row>
    <row r="165" spans="1:7">
      <c r="A165" s="3273" t="s">
        <v>29</v>
      </c>
      <c r="B165" s="3262" t="s">
        <v>3192</v>
      </c>
      <c r="C165" s="3263">
        <v>0.126</v>
      </c>
      <c r="D165" s="3263">
        <v>0.126</v>
      </c>
      <c r="E165" s="3263">
        <v>0.11899999999999999</v>
      </c>
      <c r="F165" s="3263">
        <v>0.13</v>
      </c>
      <c r="G165" s="3264">
        <v>0.128</v>
      </c>
    </row>
    <row r="166" spans="1:7">
      <c r="A166" s="3273" t="s">
        <v>29</v>
      </c>
      <c r="B166" s="3262" t="s">
        <v>3031</v>
      </c>
      <c r="C166" s="3263">
        <v>0.129</v>
      </c>
      <c r="D166" s="3263">
        <v>0.129</v>
      </c>
      <c r="E166" s="3263">
        <v>0.123</v>
      </c>
      <c r="F166" s="3263">
        <v>0.128</v>
      </c>
      <c r="G166" s="3264">
        <v>0.13</v>
      </c>
    </row>
    <row r="167" spans="1:7">
      <c r="A167" s="3273" t="s">
        <v>29</v>
      </c>
      <c r="B167" s="3262" t="s">
        <v>3035</v>
      </c>
      <c r="C167" s="3263">
        <v>0.125</v>
      </c>
      <c r="D167" s="3263">
        <v>0.125</v>
      </c>
      <c r="E167" s="3263">
        <v>0.11700000000000001</v>
      </c>
      <c r="F167" s="3263">
        <v>0.13</v>
      </c>
      <c r="G167" s="3264">
        <v>0.126</v>
      </c>
    </row>
    <row r="168" spans="1:7">
      <c r="A168" s="3273" t="s">
        <v>29</v>
      </c>
      <c r="B168" s="3262" t="s">
        <v>3040</v>
      </c>
      <c r="C168" s="3263">
        <v>0.128</v>
      </c>
      <c r="D168" s="3263">
        <v>0.128</v>
      </c>
      <c r="E168" s="3263">
        <v>0.123</v>
      </c>
      <c r="F168" s="3274"/>
      <c r="G168" s="3264">
        <v>0.13</v>
      </c>
    </row>
    <row r="169" spans="1:7">
      <c r="A169" s="3273" t="s">
        <v>29</v>
      </c>
      <c r="B169" s="3262" t="s">
        <v>3193</v>
      </c>
      <c r="C169" s="3279"/>
      <c r="D169" s="3279"/>
      <c r="E169" s="3279"/>
      <c r="F169" s="3263">
        <v>0.05</v>
      </c>
      <c r="G169" s="3275"/>
    </row>
    <row r="170" spans="1:7">
      <c r="A170" s="3273" t="s">
        <v>29</v>
      </c>
      <c r="B170" s="3262" t="s">
        <v>3194</v>
      </c>
      <c r="C170" s="3279"/>
      <c r="D170" s="3279"/>
      <c r="E170" s="3279"/>
      <c r="F170" s="3263">
        <v>0.05</v>
      </c>
      <c r="G170" s="3275"/>
    </row>
    <row r="171" spans="1:7">
      <c r="A171" s="3273" t="s">
        <v>29</v>
      </c>
      <c r="B171" s="3262" t="s">
        <v>3195</v>
      </c>
      <c r="C171" s="3279"/>
      <c r="D171" s="3279"/>
      <c r="E171" s="3279"/>
      <c r="F171" s="3263">
        <v>0.05</v>
      </c>
      <c r="G171" s="3280"/>
    </row>
    <row r="172" spans="1:7">
      <c r="A172" s="3273" t="s">
        <v>29</v>
      </c>
      <c r="B172" s="3262" t="s">
        <v>3196</v>
      </c>
      <c r="C172" s="3279"/>
      <c r="D172" s="3279"/>
      <c r="E172" s="3279"/>
      <c r="F172" s="3263">
        <v>0.05</v>
      </c>
      <c r="G172" s="3280"/>
    </row>
    <row r="173" spans="1:7">
      <c r="A173" s="3273" t="s">
        <v>29</v>
      </c>
      <c r="B173" s="3262" t="s">
        <v>3197</v>
      </c>
      <c r="C173" s="3279"/>
      <c r="D173" s="3279"/>
      <c r="E173" s="3279"/>
      <c r="F173" s="3263">
        <v>0.05</v>
      </c>
      <c r="G173" s="3275"/>
    </row>
    <row r="174" spans="1:7">
      <c r="A174" s="3273" t="s">
        <v>29</v>
      </c>
      <c r="B174" s="3262" t="s">
        <v>3198</v>
      </c>
      <c r="C174" s="3279"/>
      <c r="D174" s="3279"/>
      <c r="E174" s="3279"/>
      <c r="F174" s="3263">
        <v>0.05</v>
      </c>
      <c r="G174" s="3275"/>
    </row>
    <row r="175" spans="1:7">
      <c r="A175" s="3273" t="s">
        <v>29</v>
      </c>
      <c r="B175" s="3262" t="s">
        <v>3199</v>
      </c>
      <c r="C175" s="3279"/>
      <c r="D175" s="3279"/>
      <c r="E175" s="3279"/>
      <c r="F175" s="3263">
        <v>0.05</v>
      </c>
      <c r="G175" s="3275"/>
    </row>
    <row r="176" spans="1:7">
      <c r="A176" s="3273" t="s">
        <v>29</v>
      </c>
      <c r="B176" s="3262" t="s">
        <v>3200</v>
      </c>
      <c r="C176" s="3279"/>
      <c r="D176" s="3279"/>
      <c r="E176" s="3279"/>
      <c r="F176" s="3263">
        <v>0.05</v>
      </c>
      <c r="G176" s="3275"/>
    </row>
    <row r="177" spans="1:7">
      <c r="A177" s="3273" t="s">
        <v>29</v>
      </c>
      <c r="B177" s="3262" t="s">
        <v>3201</v>
      </c>
      <c r="C177" s="3274"/>
      <c r="D177" s="3274"/>
      <c r="E177" s="3274"/>
      <c r="F177" s="3263">
        <v>0.05</v>
      </c>
      <c r="G177" s="3280"/>
    </row>
    <row r="178" spans="1:7">
      <c r="A178" s="3273" t="s">
        <v>29</v>
      </c>
      <c r="B178" s="3262" t="s">
        <v>3202</v>
      </c>
      <c r="C178" s="3274"/>
      <c r="D178" s="3274"/>
      <c r="E178" s="3274"/>
      <c r="F178" s="3263">
        <v>0.05</v>
      </c>
      <c r="G178" s="3280"/>
    </row>
    <row r="179" spans="1:7">
      <c r="A179" s="3273" t="s">
        <v>29</v>
      </c>
      <c r="B179" s="3262" t="s">
        <v>3203</v>
      </c>
      <c r="C179" s="3274"/>
      <c r="D179" s="3274"/>
      <c r="E179" s="3274"/>
      <c r="F179" s="3263">
        <v>0.05</v>
      </c>
      <c r="G179" s="3280"/>
    </row>
    <row r="180" spans="1:7">
      <c r="A180" s="3273" t="s">
        <v>29</v>
      </c>
      <c r="B180" s="3262" t="s">
        <v>3204</v>
      </c>
      <c r="C180" s="3274"/>
      <c r="D180" s="3274"/>
      <c r="E180" s="3274"/>
      <c r="F180" s="3263">
        <v>0.05</v>
      </c>
      <c r="G180" s="3280"/>
    </row>
    <row r="181" spans="1:7">
      <c r="A181" s="3273" t="s">
        <v>29</v>
      </c>
      <c r="B181" s="3262" t="s">
        <v>3205</v>
      </c>
      <c r="C181" s="3274"/>
      <c r="D181" s="3274"/>
      <c r="E181" s="3274"/>
      <c r="F181" s="3263">
        <v>0.05</v>
      </c>
      <c r="G181" s="3280"/>
    </row>
    <row r="182" spans="1:7">
      <c r="A182" s="3273" t="s">
        <v>29</v>
      </c>
      <c r="B182" s="3262" t="s">
        <v>3206</v>
      </c>
      <c r="C182" s="3274"/>
      <c r="D182" s="3274"/>
      <c r="E182" s="3274"/>
      <c r="F182" s="3263">
        <v>0.05</v>
      </c>
      <c r="G182" s="3280"/>
    </row>
    <row r="183" spans="1:7">
      <c r="A183" s="3273" t="s">
        <v>29</v>
      </c>
      <c r="B183" s="3262" t="s">
        <v>3207</v>
      </c>
      <c r="C183" s="3274"/>
      <c r="D183" s="3274"/>
      <c r="E183" s="3274"/>
      <c r="F183" s="3263">
        <v>0.05</v>
      </c>
      <c r="G183" s="3280"/>
    </row>
    <row r="184" spans="1:7">
      <c r="A184" s="3273" t="s">
        <v>29</v>
      </c>
      <c r="B184" s="3262" t="s">
        <v>3208</v>
      </c>
      <c r="C184" s="3274"/>
      <c r="D184" s="3274"/>
      <c r="E184" s="3274"/>
      <c r="F184" s="3263">
        <v>0.05</v>
      </c>
      <c r="G184" s="3280"/>
    </row>
    <row r="185" spans="1:7">
      <c r="A185" s="3273" t="s">
        <v>29</v>
      </c>
      <c r="B185" s="3262" t="s">
        <v>3209</v>
      </c>
      <c r="C185" s="3274"/>
      <c r="D185" s="3274"/>
      <c r="E185" s="3274"/>
      <c r="F185" s="3263">
        <v>0.05</v>
      </c>
      <c r="G185" s="3280"/>
    </row>
    <row r="186" spans="1:7">
      <c r="A186" s="3273" t="s">
        <v>29</v>
      </c>
      <c r="B186" s="3262" t="s">
        <v>3210</v>
      </c>
      <c r="C186" s="3274"/>
      <c r="D186" s="3274"/>
      <c r="E186" s="3274"/>
      <c r="F186" s="3263">
        <v>0.05</v>
      </c>
      <c r="G186" s="3280"/>
    </row>
    <row r="187" spans="1:7">
      <c r="A187" s="3273" t="s">
        <v>29</v>
      </c>
      <c r="B187" s="3262" t="s">
        <v>3211</v>
      </c>
      <c r="C187" s="3274"/>
      <c r="D187" s="3274"/>
      <c r="E187" s="3274"/>
      <c r="F187" s="3263">
        <v>0.05</v>
      </c>
      <c r="G187" s="3280"/>
    </row>
    <row r="188" spans="1:7">
      <c r="A188" s="3273" t="s">
        <v>29</v>
      </c>
      <c r="B188" s="3262" t="s">
        <v>3212</v>
      </c>
      <c r="C188" s="3274"/>
      <c r="D188" s="3274"/>
      <c r="E188" s="3274"/>
      <c r="F188" s="3263">
        <v>0.05</v>
      </c>
      <c r="G188" s="3280"/>
    </row>
    <row r="189" spans="1:7" ht="15" thickBot="1">
      <c r="A189" s="3276" t="s">
        <v>29</v>
      </c>
      <c r="B189" s="3266" t="s">
        <v>3213</v>
      </c>
      <c r="C189" s="3268"/>
      <c r="D189" s="3268"/>
      <c r="E189" s="3268"/>
      <c r="F189" s="3267">
        <v>0.05</v>
      </c>
      <c r="G189" s="3281"/>
    </row>
    <row r="190" spans="1:7">
      <c r="A190" s="3272" t="s">
        <v>304</v>
      </c>
      <c r="B190" s="3258" t="s">
        <v>2869</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2905</v>
      </c>
      <c r="C199" s="3263">
        <v>0.13</v>
      </c>
      <c r="D199" s="3263">
        <v>0.13</v>
      </c>
      <c r="E199" s="3263">
        <v>0.13</v>
      </c>
      <c r="F199" s="3263">
        <v>0.13</v>
      </c>
      <c r="G199" s="3264">
        <v>0.13</v>
      </c>
    </row>
    <row r="200" spans="1:7">
      <c r="A200" s="3273" t="s">
        <v>304</v>
      </c>
      <c r="B200" s="3262" t="s">
        <v>2908</v>
      </c>
      <c r="C200" s="3279"/>
      <c r="D200" s="3279"/>
      <c r="E200" s="3279"/>
      <c r="F200" s="3263">
        <v>0.13</v>
      </c>
      <c r="G200" s="3275"/>
    </row>
    <row r="201" spans="1:7">
      <c r="A201" s="3273" t="s">
        <v>304</v>
      </c>
      <c r="B201" s="3262" t="s">
        <v>2913</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2916</v>
      </c>
      <c r="C203" s="3263">
        <v>0.129</v>
      </c>
      <c r="D203" s="3263">
        <v>0.129</v>
      </c>
      <c r="E203" s="3263">
        <v>0.13</v>
      </c>
      <c r="F203" s="3263">
        <v>0.13</v>
      </c>
      <c r="G203" s="3264">
        <v>0.13</v>
      </c>
    </row>
    <row r="204" spans="1:7">
      <c r="A204" s="3273" t="s">
        <v>304</v>
      </c>
      <c r="B204" s="3262" t="s">
        <v>2919</v>
      </c>
      <c r="C204" s="3263">
        <v>0.129</v>
      </c>
      <c r="D204" s="3263">
        <v>0.129</v>
      </c>
      <c r="E204" s="3263">
        <v>0.123</v>
      </c>
      <c r="F204" s="3263">
        <v>0.13</v>
      </c>
      <c r="G204" s="3264">
        <v>0.13</v>
      </c>
    </row>
    <row r="205" spans="1:7">
      <c r="A205" s="3273" t="s">
        <v>304</v>
      </c>
      <c r="B205" s="3262" t="s">
        <v>2921</v>
      </c>
      <c r="C205" s="3263">
        <v>0.13</v>
      </c>
      <c r="D205" s="3263">
        <v>0.13</v>
      </c>
      <c r="E205" s="3263">
        <v>0.13</v>
      </c>
      <c r="F205" s="3263">
        <v>0.13</v>
      </c>
      <c r="G205" s="3264">
        <v>0.13</v>
      </c>
    </row>
    <row r="206" spans="1:7">
      <c r="A206" s="3273" t="s">
        <v>304</v>
      </c>
      <c r="B206" s="3262" t="s">
        <v>2924</v>
      </c>
      <c r="C206" s="3263">
        <v>0.13</v>
      </c>
      <c r="D206" s="3263">
        <v>0.13</v>
      </c>
      <c r="E206" s="3263">
        <v>0.13</v>
      </c>
      <c r="F206" s="3263">
        <v>0.128</v>
      </c>
      <c r="G206" s="3264">
        <v>0.13</v>
      </c>
    </row>
    <row r="207" spans="1:7">
      <c r="A207" s="3273" t="s">
        <v>304</v>
      </c>
      <c r="B207" s="3262" t="s">
        <v>2926</v>
      </c>
      <c r="C207" s="3263">
        <v>0.13</v>
      </c>
      <c r="D207" s="3263">
        <v>0.13</v>
      </c>
      <c r="E207" s="3263">
        <v>0.13</v>
      </c>
      <c r="F207" s="3263">
        <v>0.13</v>
      </c>
      <c r="G207" s="3264">
        <v>0.13</v>
      </c>
    </row>
    <row r="208" spans="1:7">
      <c r="A208" s="3273" t="s">
        <v>304</v>
      </c>
      <c r="B208" s="3262" t="s">
        <v>2929</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2936</v>
      </c>
      <c r="C210" s="3263">
        <v>0.121</v>
      </c>
      <c r="D210" s="3263">
        <v>0.121</v>
      </c>
      <c r="E210" s="3263">
        <v>0.125</v>
      </c>
      <c r="F210" s="3263">
        <v>0.13</v>
      </c>
      <c r="G210" s="3264">
        <v>0.123</v>
      </c>
    </row>
    <row r="211" spans="1:7">
      <c r="A211" s="3273" t="s">
        <v>304</v>
      </c>
      <c r="B211" s="3262" t="s">
        <v>2939</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2951</v>
      </c>
      <c r="C214" s="3263">
        <v>0.128</v>
      </c>
      <c r="D214" s="3263">
        <v>0.128</v>
      </c>
      <c r="E214" s="3263">
        <v>0.13</v>
      </c>
      <c r="F214" s="3263">
        <v>0.13</v>
      </c>
      <c r="G214" s="3264">
        <v>0.13</v>
      </c>
    </row>
    <row r="215" spans="1:7">
      <c r="A215" s="3273" t="s">
        <v>304</v>
      </c>
      <c r="B215" s="3262" t="s">
        <v>2955</v>
      </c>
      <c r="C215" s="3263">
        <v>0.13</v>
      </c>
      <c r="D215" s="3263">
        <v>0.13</v>
      </c>
      <c r="E215" s="3263">
        <v>0.13</v>
      </c>
      <c r="F215" s="3263">
        <v>0.129</v>
      </c>
      <c r="G215" s="3264">
        <v>0.13</v>
      </c>
    </row>
    <row r="216" spans="1:7">
      <c r="A216" s="3273" t="s">
        <v>304</v>
      </c>
      <c r="B216" s="3262" t="s">
        <v>2962</v>
      </c>
      <c r="C216" s="3263">
        <v>0.13</v>
      </c>
      <c r="D216" s="3263">
        <v>0.13</v>
      </c>
      <c r="E216" s="3263">
        <v>0.13</v>
      </c>
      <c r="F216" s="3263">
        <v>0.13</v>
      </c>
      <c r="G216" s="3264">
        <v>0.13</v>
      </c>
    </row>
    <row r="217" spans="1:7">
      <c r="A217" s="3273" t="s">
        <v>304</v>
      </c>
      <c r="B217" s="3262" t="s">
        <v>2969</v>
      </c>
      <c r="C217" s="3263">
        <v>0.129</v>
      </c>
      <c r="D217" s="3263">
        <v>0.129</v>
      </c>
      <c r="E217" s="3263">
        <v>0.13</v>
      </c>
      <c r="F217" s="3263">
        <v>0.13</v>
      </c>
      <c r="G217" s="3264">
        <v>0.13</v>
      </c>
    </row>
    <row r="218" spans="1:7">
      <c r="A218" s="3273" t="s">
        <v>304</v>
      </c>
      <c r="B218" s="3262" t="s">
        <v>2975</v>
      </c>
      <c r="C218" s="3274"/>
      <c r="D218" s="3274"/>
      <c r="E218" s="3274"/>
      <c r="F218" s="3263">
        <v>0.05</v>
      </c>
      <c r="G218" s="3280"/>
    </row>
    <row r="219" spans="1:7">
      <c r="A219" s="3273" t="s">
        <v>304</v>
      </c>
      <c r="B219" s="3262" t="s">
        <v>2982</v>
      </c>
      <c r="C219" s="3274"/>
      <c r="D219" s="3274"/>
      <c r="E219" s="3274"/>
      <c r="F219" s="3263">
        <v>0.05</v>
      </c>
      <c r="G219" s="3280"/>
    </row>
    <row r="220" spans="1:7">
      <c r="A220" s="3273" t="s">
        <v>304</v>
      </c>
      <c r="B220" s="3262" t="s">
        <v>2988</v>
      </c>
      <c r="C220" s="3274"/>
      <c r="D220" s="3274"/>
      <c r="E220" s="3274"/>
      <c r="F220" s="3263">
        <v>0.05</v>
      </c>
      <c r="G220" s="3280"/>
    </row>
    <row r="221" spans="1:7">
      <c r="A221" s="3273" t="s">
        <v>304</v>
      </c>
      <c r="B221" s="3262" t="s">
        <v>2993</v>
      </c>
      <c r="C221" s="3274"/>
      <c r="D221" s="3274"/>
      <c r="E221" s="3274"/>
      <c r="F221" s="3263">
        <v>0.05</v>
      </c>
      <c r="G221" s="3280"/>
    </row>
    <row r="222" spans="1:7">
      <c r="A222" s="3273" t="s">
        <v>304</v>
      </c>
      <c r="B222" s="3262" t="s">
        <v>2997</v>
      </c>
      <c r="C222" s="3274"/>
      <c r="D222" s="3274"/>
      <c r="E222" s="3274"/>
      <c r="F222" s="3263">
        <v>0.05</v>
      </c>
      <c r="G222" s="3280"/>
    </row>
    <row r="223" spans="1:7">
      <c r="A223" s="3273" t="s">
        <v>304</v>
      </c>
      <c r="B223" s="3262" t="s">
        <v>3002</v>
      </c>
      <c r="C223" s="3274"/>
      <c r="D223" s="3274"/>
      <c r="E223" s="3274"/>
      <c r="F223" s="3263">
        <v>0.05</v>
      </c>
      <c r="G223" s="3280"/>
    </row>
    <row r="224" spans="1:7">
      <c r="A224" s="3273" t="s">
        <v>304</v>
      </c>
      <c r="B224" s="3262" t="s">
        <v>3007</v>
      </c>
      <c r="C224" s="3274"/>
      <c r="D224" s="3274"/>
      <c r="E224" s="3274"/>
      <c r="F224" s="3263">
        <v>0.05</v>
      </c>
      <c r="G224" s="3280"/>
    </row>
    <row r="225" spans="1:7">
      <c r="A225" s="3273" t="s">
        <v>304</v>
      </c>
      <c r="B225" s="3262" t="s">
        <v>3012</v>
      </c>
      <c r="C225" s="3274"/>
      <c r="D225" s="3274"/>
      <c r="E225" s="3274"/>
      <c r="F225" s="3263">
        <v>0.05</v>
      </c>
      <c r="G225" s="3280"/>
    </row>
    <row r="226" spans="1:7">
      <c r="A226" s="3273" t="s">
        <v>304</v>
      </c>
      <c r="B226" s="3262" t="s">
        <v>3214</v>
      </c>
      <c r="C226" s="3274"/>
      <c r="D226" s="3274"/>
      <c r="E226" s="3274"/>
      <c r="F226" s="3263">
        <v>0.05</v>
      </c>
      <c r="G226" s="3280"/>
    </row>
    <row r="227" spans="1:7">
      <c r="A227" s="3273" t="s">
        <v>304</v>
      </c>
      <c r="B227" s="3262" t="s">
        <v>3215</v>
      </c>
      <c r="C227" s="3274"/>
      <c r="D227" s="3274"/>
      <c r="E227" s="3274"/>
      <c r="F227" s="3263">
        <v>0.05</v>
      </c>
      <c r="G227" s="3280"/>
    </row>
    <row r="228" spans="1:7">
      <c r="A228" s="3273" t="s">
        <v>304</v>
      </c>
      <c r="B228" s="3262" t="s">
        <v>3216</v>
      </c>
      <c r="C228" s="3274"/>
      <c r="D228" s="3274"/>
      <c r="E228" s="3274"/>
      <c r="F228" s="3263">
        <v>0.05</v>
      </c>
      <c r="G228" s="3280"/>
    </row>
    <row r="229" spans="1:7">
      <c r="A229" s="3273" t="s">
        <v>304</v>
      </c>
      <c r="B229" s="3262" t="s">
        <v>3217</v>
      </c>
      <c r="C229" s="3274"/>
      <c r="D229" s="3274"/>
      <c r="E229" s="3274"/>
      <c r="F229" s="3263">
        <v>0.05</v>
      </c>
      <c r="G229" s="3280"/>
    </row>
    <row r="230" spans="1:7">
      <c r="A230" s="3273" t="s">
        <v>304</v>
      </c>
      <c r="B230" s="3262" t="s">
        <v>3218</v>
      </c>
      <c r="C230" s="3274"/>
      <c r="D230" s="3274"/>
      <c r="E230" s="3274"/>
      <c r="F230" s="3263">
        <v>0.05</v>
      </c>
      <c r="G230" s="3280"/>
    </row>
    <row r="231" spans="1:7">
      <c r="A231" s="3273" t="s">
        <v>304</v>
      </c>
      <c r="B231" s="3262" t="s">
        <v>3219</v>
      </c>
      <c r="C231" s="3274"/>
      <c r="D231" s="3274"/>
      <c r="E231" s="3274"/>
      <c r="F231" s="3263">
        <v>0.05</v>
      </c>
      <c r="G231" s="3280"/>
    </row>
    <row r="232" spans="1:7">
      <c r="A232" s="3273" t="s">
        <v>304</v>
      </c>
      <c r="B232" s="3262" t="s">
        <v>3220</v>
      </c>
      <c r="C232" s="3274"/>
      <c r="D232" s="3274"/>
      <c r="E232" s="3274"/>
      <c r="F232" s="3263">
        <v>0.05</v>
      </c>
      <c r="G232" s="3280"/>
    </row>
    <row r="233" spans="1:7" ht="15" thickBot="1">
      <c r="A233" s="3276" t="s">
        <v>304</v>
      </c>
      <c r="B233" s="3266" t="s">
        <v>3221</v>
      </c>
      <c r="C233" s="3268"/>
      <c r="D233" s="3268"/>
      <c r="E233" s="3268"/>
      <c r="F233" s="3267">
        <v>0.05</v>
      </c>
      <c r="G233" s="3281"/>
    </row>
    <row r="234" spans="1:7">
      <c r="A234" s="3272" t="s">
        <v>305</v>
      </c>
      <c r="B234" s="3258" t="s">
        <v>2870</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2890</v>
      </c>
      <c r="C238" s="3263">
        <v>0.14899999999999999</v>
      </c>
      <c r="D238" s="3263">
        <v>0.14899999999999999</v>
      </c>
      <c r="E238" s="3263">
        <v>0.15</v>
      </c>
      <c r="F238" s="3263">
        <v>0.15</v>
      </c>
      <c r="G238" s="3264">
        <v>0.15</v>
      </c>
    </row>
    <row r="239" spans="1:7">
      <c r="A239" s="3273" t="s">
        <v>305</v>
      </c>
      <c r="B239" s="3262" t="s">
        <v>2894</v>
      </c>
      <c r="C239" s="3263">
        <v>0.15</v>
      </c>
      <c r="D239" s="3263">
        <v>0.15</v>
      </c>
      <c r="E239" s="3263">
        <v>0.15</v>
      </c>
      <c r="F239" s="3263">
        <v>0.15</v>
      </c>
      <c r="G239" s="3264">
        <v>0.15</v>
      </c>
    </row>
    <row r="240" spans="1:7">
      <c r="A240" s="3273" t="s">
        <v>305</v>
      </c>
      <c r="B240" s="3262" t="s">
        <v>2899</v>
      </c>
      <c r="C240" s="3263">
        <v>0.15</v>
      </c>
      <c r="D240" s="3263">
        <v>0.15</v>
      </c>
      <c r="E240" s="3263">
        <v>0.15</v>
      </c>
      <c r="F240" s="3263">
        <v>0.15</v>
      </c>
      <c r="G240" s="3264">
        <v>0.15</v>
      </c>
    </row>
    <row r="241" spans="1:7">
      <c r="A241" s="3273" t="s">
        <v>305</v>
      </c>
      <c r="B241" s="3262" t="s">
        <v>2903</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2909</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2917</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2922</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2930</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2943</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2952</v>
      </c>
      <c r="C258" s="3263">
        <v>0.14299999999999999</v>
      </c>
      <c r="D258" s="3263">
        <v>0.14299999999999999</v>
      </c>
      <c r="E258" s="3263">
        <v>0.15</v>
      </c>
      <c r="F258" s="3263">
        <v>0.14799999999999999</v>
      </c>
      <c r="G258" s="3264">
        <v>0.14599999999999999</v>
      </c>
    </row>
    <row r="259" spans="1:7">
      <c r="A259" s="3273" t="s">
        <v>305</v>
      </c>
      <c r="B259" s="3262" t="s">
        <v>2956</v>
      </c>
      <c r="C259" s="3263">
        <v>0.14399999999999999</v>
      </c>
      <c r="D259" s="3263">
        <v>0.14399999999999999</v>
      </c>
      <c r="E259" s="3263">
        <v>0.14899999999999999</v>
      </c>
      <c r="F259" s="3263">
        <v>0.14699999999999999</v>
      </c>
      <c r="G259" s="3264">
        <v>0.14599999999999999</v>
      </c>
    </row>
    <row r="260" spans="1:7">
      <c r="A260" s="3273" t="s">
        <v>305</v>
      </c>
      <c r="B260" s="3262" t="s">
        <v>2963</v>
      </c>
      <c r="C260" s="3263">
        <v>0.109</v>
      </c>
      <c r="D260" s="3263">
        <v>0.111</v>
      </c>
      <c r="E260" s="3263">
        <v>0.13100000000000001</v>
      </c>
      <c r="F260" s="3263">
        <v>0.126</v>
      </c>
      <c r="G260" s="3264">
        <v>0.11899999999999999</v>
      </c>
    </row>
    <row r="261" spans="1:7">
      <c r="A261" s="3273" t="s">
        <v>305</v>
      </c>
      <c r="B261" s="3262" t="s">
        <v>2970</v>
      </c>
      <c r="C261" s="3263">
        <v>0.1</v>
      </c>
      <c r="D261" s="3263">
        <v>0.1</v>
      </c>
      <c r="E261" s="3263">
        <v>0.11799999999999999</v>
      </c>
      <c r="F261" s="3263">
        <v>0.108</v>
      </c>
      <c r="G261" s="3264">
        <v>0.107</v>
      </c>
    </row>
    <row r="262" spans="1:7">
      <c r="A262" s="3273" t="s">
        <v>305</v>
      </c>
      <c r="B262" s="3262" t="s">
        <v>2976</v>
      </c>
      <c r="C262" s="3263">
        <v>0.1</v>
      </c>
      <c r="D262" s="3263">
        <v>0.1</v>
      </c>
      <c r="E262" s="3263">
        <v>0.1</v>
      </c>
      <c r="F262" s="3263">
        <v>0.14099999999999999</v>
      </c>
      <c r="G262" s="3264">
        <v>0.1</v>
      </c>
    </row>
    <row r="263" spans="1:7">
      <c r="A263" s="3273" t="s">
        <v>305</v>
      </c>
      <c r="B263" s="3262" t="s">
        <v>2983</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2994</v>
      </c>
      <c r="C265" s="3274"/>
      <c r="D265" s="3274"/>
      <c r="E265" s="3274"/>
      <c r="F265" s="3263">
        <v>0.05</v>
      </c>
      <c r="G265" s="3280"/>
    </row>
    <row r="266" spans="1:7">
      <c r="A266" s="3273" t="s">
        <v>305</v>
      </c>
      <c r="B266" s="3262" t="s">
        <v>2998</v>
      </c>
      <c r="C266" s="3274"/>
      <c r="D266" s="3274"/>
      <c r="E266" s="3274"/>
      <c r="F266" s="3263">
        <v>0.05</v>
      </c>
      <c r="G266" s="3280"/>
    </row>
    <row r="267" spans="1:7">
      <c r="A267" s="3273" t="s">
        <v>305</v>
      </c>
      <c r="B267" s="3262" t="s">
        <v>3003</v>
      </c>
      <c r="C267" s="3274"/>
      <c r="D267" s="3274"/>
      <c r="E267" s="3274"/>
      <c r="F267" s="3263">
        <v>0.05</v>
      </c>
      <c r="G267" s="3280"/>
    </row>
    <row r="268" spans="1:7">
      <c r="A268" s="3273" t="s">
        <v>305</v>
      </c>
      <c r="B268" s="3262" t="s">
        <v>3008</v>
      </c>
      <c r="C268" s="3274"/>
      <c r="D268" s="3274"/>
      <c r="E268" s="3274"/>
      <c r="F268" s="3263">
        <v>0.05</v>
      </c>
      <c r="G268" s="3280"/>
    </row>
    <row r="269" spans="1:7">
      <c r="A269" s="3273" t="s">
        <v>305</v>
      </c>
      <c r="B269" s="3262" t="s">
        <v>3013</v>
      </c>
      <c r="C269" s="3274"/>
      <c r="D269" s="3274"/>
      <c r="E269" s="3274"/>
      <c r="F269" s="3263">
        <v>0.05</v>
      </c>
      <c r="G269" s="3280"/>
    </row>
    <row r="270" spans="1:7">
      <c r="A270" s="3273" t="s">
        <v>305</v>
      </c>
      <c r="B270" s="3262" t="s">
        <v>3018</v>
      </c>
      <c r="C270" s="3274"/>
      <c r="D270" s="3274"/>
      <c r="E270" s="3274"/>
      <c r="F270" s="3263">
        <v>0.05</v>
      </c>
      <c r="G270" s="3280"/>
    </row>
    <row r="271" spans="1:7">
      <c r="A271" s="3273" t="s">
        <v>305</v>
      </c>
      <c r="B271" s="3262" t="s">
        <v>3222</v>
      </c>
      <c r="C271" s="3274"/>
      <c r="D271" s="3274"/>
      <c r="E271" s="3274"/>
      <c r="F271" s="3263">
        <v>0.05</v>
      </c>
      <c r="G271" s="3280"/>
    </row>
    <row r="272" spans="1:7">
      <c r="A272" s="3273" t="s">
        <v>305</v>
      </c>
      <c r="B272" s="3262" t="s">
        <v>3223</v>
      </c>
      <c r="C272" s="3274"/>
      <c r="D272" s="3274"/>
      <c r="E272" s="3274"/>
      <c r="F272" s="3263">
        <v>0.05</v>
      </c>
      <c r="G272" s="3280"/>
    </row>
    <row r="273" spans="1:7">
      <c r="A273" s="3273" t="s">
        <v>305</v>
      </c>
      <c r="B273" s="3262" t="s">
        <v>3224</v>
      </c>
      <c r="C273" s="3274"/>
      <c r="D273" s="3274"/>
      <c r="E273" s="3274"/>
      <c r="F273" s="3263">
        <v>0.05</v>
      </c>
      <c r="G273" s="3280"/>
    </row>
    <row r="274" spans="1:7">
      <c r="A274" s="3273" t="s">
        <v>305</v>
      </c>
      <c r="B274" s="3262" t="s">
        <v>3225</v>
      </c>
      <c r="C274" s="3274"/>
      <c r="D274" s="3274"/>
      <c r="E274" s="3274"/>
      <c r="F274" s="3263">
        <v>0.05</v>
      </c>
      <c r="G274" s="3280"/>
    </row>
    <row r="275" spans="1:7">
      <c r="A275" s="3273" t="s">
        <v>305</v>
      </c>
      <c r="B275" s="3262" t="s">
        <v>3226</v>
      </c>
      <c r="C275" s="3274"/>
      <c r="D275" s="3274"/>
      <c r="E275" s="3274"/>
      <c r="F275" s="3263">
        <v>0.05</v>
      </c>
      <c r="G275" s="3280"/>
    </row>
    <row r="276" spans="1:7" ht="15" thickBot="1">
      <c r="A276" s="3276" t="s">
        <v>305</v>
      </c>
      <c r="B276" s="3266" t="s">
        <v>3227</v>
      </c>
      <c r="C276" s="3268"/>
      <c r="D276" s="3268"/>
      <c r="E276" s="3268"/>
      <c r="F276" s="3267">
        <v>0.05</v>
      </c>
      <c r="G276" s="3281"/>
    </row>
    <row r="277" spans="1:7">
      <c r="A277" s="3272" t="s">
        <v>306</v>
      </c>
      <c r="B277" s="3258" t="s">
        <v>2871</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2883</v>
      </c>
      <c r="C279" s="3263">
        <v>0.15</v>
      </c>
      <c r="D279" s="3263">
        <v>0.15</v>
      </c>
      <c r="E279" s="3263">
        <v>0.15</v>
      </c>
      <c r="F279" s="3263">
        <v>0.15</v>
      </c>
      <c r="G279" s="3264">
        <v>0.15</v>
      </c>
    </row>
    <row r="280" spans="1:7">
      <c r="A280" s="3273" t="s">
        <v>306</v>
      </c>
      <c r="B280" s="3262" t="s">
        <v>2887</v>
      </c>
      <c r="C280" s="3263">
        <v>0.15</v>
      </c>
      <c r="D280" s="3263">
        <v>0.15</v>
      </c>
      <c r="E280" s="3263">
        <v>0.15</v>
      </c>
      <c r="F280" s="3263">
        <v>0.15</v>
      </c>
      <c r="G280" s="3264">
        <v>0.15</v>
      </c>
    </row>
    <row r="281" spans="1:7">
      <c r="A281" s="3273" t="s">
        <v>306</v>
      </c>
      <c r="B281" s="3262" t="s">
        <v>2891</v>
      </c>
      <c r="C281" s="3263">
        <v>0.15</v>
      </c>
      <c r="D281" s="3263">
        <v>0.15</v>
      </c>
      <c r="E281" s="3263">
        <v>0.15</v>
      </c>
      <c r="F281" s="3263">
        <v>0.15</v>
      </c>
      <c r="G281" s="3264">
        <v>0.15</v>
      </c>
    </row>
    <row r="282" spans="1:7">
      <c r="A282" s="3273" t="s">
        <v>306</v>
      </c>
      <c r="B282" s="3262" t="s">
        <v>2895</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2910</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2915</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2925</v>
      </c>
      <c r="C293" s="3263">
        <v>0.15</v>
      </c>
      <c r="D293" s="3263">
        <v>0.15</v>
      </c>
      <c r="E293" s="3263">
        <v>0.15</v>
      </c>
      <c r="F293" s="3263">
        <v>0.14499999999999999</v>
      </c>
      <c r="G293" s="3264">
        <v>0.15</v>
      </c>
    </row>
    <row r="294" spans="1:7">
      <c r="A294" s="3273" t="s">
        <v>306</v>
      </c>
      <c r="B294" s="3262" t="s">
        <v>2927</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2944</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2957</v>
      </c>
      <c r="C302" s="3263">
        <v>0.15</v>
      </c>
      <c r="D302" s="3263">
        <v>0.15</v>
      </c>
      <c r="E302" s="3263">
        <v>0.15</v>
      </c>
      <c r="F302" s="3263">
        <v>0.14699999999999999</v>
      </c>
      <c r="G302" s="3264">
        <v>0.15</v>
      </c>
    </row>
    <row r="303" spans="1:7">
      <c r="A303" s="3273" t="s">
        <v>306</v>
      </c>
      <c r="B303" s="3262" t="s">
        <v>2964</v>
      </c>
      <c r="C303" s="3263">
        <v>0.15</v>
      </c>
      <c r="D303" s="3263">
        <v>0.15</v>
      </c>
      <c r="E303" s="3263">
        <v>0.15</v>
      </c>
      <c r="F303" s="3263">
        <v>0.14199999999999999</v>
      </c>
      <c r="G303" s="3264">
        <v>0.15</v>
      </c>
    </row>
    <row r="304" spans="1:7">
      <c r="A304" s="3273" t="s">
        <v>306</v>
      </c>
      <c r="B304" s="3262" t="s">
        <v>2971</v>
      </c>
      <c r="C304" s="3263">
        <v>0.15</v>
      </c>
      <c r="D304" s="3263">
        <v>0.15</v>
      </c>
      <c r="E304" s="3263">
        <v>0.15</v>
      </c>
      <c r="F304" s="3263">
        <v>0.14499999999999999</v>
      </c>
      <c r="G304" s="3264">
        <v>0.15</v>
      </c>
    </row>
    <row r="305" spans="1:7">
      <c r="A305" s="3273" t="s">
        <v>306</v>
      </c>
      <c r="B305" s="3262" t="s">
        <v>2977</v>
      </c>
      <c r="C305" s="3263">
        <v>0.15</v>
      </c>
      <c r="D305" s="3263">
        <v>0.15</v>
      </c>
      <c r="E305" s="3263">
        <v>0.15</v>
      </c>
      <c r="F305" s="3263">
        <v>0.111</v>
      </c>
      <c r="G305" s="3264">
        <v>0.15</v>
      </c>
    </row>
    <row r="306" spans="1:7">
      <c r="A306" s="3273" t="s">
        <v>306</v>
      </c>
      <c r="B306" s="3262" t="s">
        <v>2984</v>
      </c>
      <c r="C306" s="3263">
        <v>0.15</v>
      </c>
      <c r="D306" s="3263">
        <v>0.15</v>
      </c>
      <c r="E306" s="3263">
        <v>0.15</v>
      </c>
      <c r="F306" s="3263">
        <v>0.126</v>
      </c>
      <c r="G306" s="3264">
        <v>0.15</v>
      </c>
    </row>
    <row r="307" spans="1:7">
      <c r="A307" s="3273" t="s">
        <v>306</v>
      </c>
      <c r="B307" s="3262" t="s">
        <v>2989</v>
      </c>
      <c r="C307" s="3263">
        <v>0.15</v>
      </c>
      <c r="D307" s="3263">
        <v>0.15</v>
      </c>
      <c r="E307" s="3263">
        <v>0.15</v>
      </c>
      <c r="F307" s="3263">
        <v>0.12</v>
      </c>
      <c r="G307" s="3264">
        <v>0.15</v>
      </c>
    </row>
    <row r="308" spans="1:7">
      <c r="A308" s="3273" t="s">
        <v>306</v>
      </c>
      <c r="B308" s="3262" t="s">
        <v>2995</v>
      </c>
      <c r="C308" s="3263">
        <v>0.15</v>
      </c>
      <c r="D308" s="3263">
        <v>0.15</v>
      </c>
      <c r="E308" s="3263">
        <v>0.15</v>
      </c>
      <c r="F308" s="3263">
        <v>0.13</v>
      </c>
      <c r="G308" s="3264">
        <v>0.15</v>
      </c>
    </row>
    <row r="309" spans="1:7">
      <c r="A309" s="3273" t="s">
        <v>306</v>
      </c>
      <c r="B309" s="3262" t="s">
        <v>2999</v>
      </c>
      <c r="C309" s="3263">
        <v>0.15</v>
      </c>
      <c r="D309" s="3263">
        <v>0.15</v>
      </c>
      <c r="E309" s="3263">
        <v>0.15</v>
      </c>
      <c r="F309" s="3263">
        <v>0.14099999999999999</v>
      </c>
      <c r="G309" s="3264">
        <v>0.15</v>
      </c>
    </row>
    <row r="310" spans="1:7">
      <c r="A310" s="3273" t="s">
        <v>306</v>
      </c>
      <c r="B310" s="3262" t="s">
        <v>3004</v>
      </c>
      <c r="C310" s="3263">
        <v>0.15</v>
      </c>
      <c r="D310" s="3263">
        <v>0.15</v>
      </c>
      <c r="E310" s="3263">
        <v>0.15</v>
      </c>
      <c r="F310" s="3263">
        <v>0.15</v>
      </c>
      <c r="G310" s="3264">
        <v>0.15</v>
      </c>
    </row>
    <row r="311" spans="1:7">
      <c r="A311" s="3273" t="s">
        <v>306</v>
      </c>
      <c r="B311" s="3262" t="s">
        <v>3009</v>
      </c>
      <c r="C311" s="3263">
        <v>0.13200000000000001</v>
      </c>
      <c r="D311" s="3263">
        <v>0.13300000000000001</v>
      </c>
      <c r="E311" s="3263">
        <v>0.14499999999999999</v>
      </c>
      <c r="F311" s="3263">
        <v>0.14199999999999999</v>
      </c>
      <c r="G311" s="3264">
        <v>0.14000000000000001</v>
      </c>
    </row>
    <row r="312" spans="1:7">
      <c r="A312" s="3273" t="s">
        <v>306</v>
      </c>
      <c r="B312" s="3262" t="s">
        <v>3014</v>
      </c>
      <c r="C312" s="3263">
        <v>0.13800000000000001</v>
      </c>
      <c r="D312" s="3263">
        <v>0.14000000000000001</v>
      </c>
      <c r="E312" s="3263">
        <v>0.14599999999999999</v>
      </c>
      <c r="F312" s="3263">
        <v>0.14899999999999999</v>
      </c>
      <c r="G312" s="3264">
        <v>0.14199999999999999</v>
      </c>
    </row>
    <row r="313" spans="1:7">
      <c r="A313" s="3273" t="s">
        <v>306</v>
      </c>
      <c r="B313" s="3262" t="s">
        <v>3019</v>
      </c>
      <c r="C313" s="3263">
        <v>0.125</v>
      </c>
      <c r="D313" s="3263">
        <v>0.127</v>
      </c>
      <c r="E313" s="3263">
        <v>0.14399999999999999</v>
      </c>
      <c r="F313" s="3263">
        <v>0.115</v>
      </c>
      <c r="G313" s="3264">
        <v>0.13600000000000001</v>
      </c>
    </row>
    <row r="314" spans="1:7">
      <c r="A314" s="3273" t="s">
        <v>306</v>
      </c>
      <c r="B314" s="3262" t="s">
        <v>3228</v>
      </c>
      <c r="C314" s="3279"/>
      <c r="D314" s="3279"/>
      <c r="E314" s="3279"/>
      <c r="F314" s="3263">
        <v>0.05</v>
      </c>
      <c r="G314" s="3280"/>
    </row>
    <row r="315" spans="1:7">
      <c r="A315" s="3273" t="s">
        <v>306</v>
      </c>
      <c r="B315" s="3262" t="s">
        <v>3229</v>
      </c>
      <c r="C315" s="3279"/>
      <c r="D315" s="3279"/>
      <c r="E315" s="3279"/>
      <c r="F315" s="3263">
        <v>0.05</v>
      </c>
      <c r="G315" s="3280"/>
    </row>
    <row r="316" spans="1:7">
      <c r="A316" s="3273" t="s">
        <v>306</v>
      </c>
      <c r="B316" s="3262" t="s">
        <v>3230</v>
      </c>
      <c r="C316" s="3274"/>
      <c r="D316" s="3274"/>
      <c r="E316" s="3274"/>
      <c r="F316" s="3263">
        <v>0.05</v>
      </c>
      <c r="G316" s="3280"/>
    </row>
    <row r="317" spans="1:7">
      <c r="A317" s="3273" t="s">
        <v>306</v>
      </c>
      <c r="B317" s="3262" t="s">
        <v>3231</v>
      </c>
      <c r="C317" s="3274"/>
      <c r="D317" s="3274"/>
      <c r="E317" s="3274"/>
      <c r="F317" s="3263">
        <v>0.05</v>
      </c>
      <c r="G317" s="3280"/>
    </row>
    <row r="318" spans="1:7">
      <c r="A318" s="3273" t="s">
        <v>306</v>
      </c>
      <c r="B318" s="3262" t="s">
        <v>3232</v>
      </c>
      <c r="C318" s="3274"/>
      <c r="D318" s="3274"/>
      <c r="E318" s="3274"/>
      <c r="F318" s="3263">
        <v>0.05</v>
      </c>
      <c r="G318" s="3280"/>
    </row>
    <row r="319" spans="1:7">
      <c r="A319" s="3273" t="s">
        <v>306</v>
      </c>
      <c r="B319" s="3262" t="s">
        <v>3233</v>
      </c>
      <c r="C319" s="3274"/>
      <c r="D319" s="3274"/>
      <c r="E319" s="3274"/>
      <c r="F319" s="3263">
        <v>0.05</v>
      </c>
      <c r="G319" s="3280"/>
    </row>
    <row r="320" spans="1:7">
      <c r="A320" s="3273" t="s">
        <v>306</v>
      </c>
      <c r="B320" s="3262" t="s">
        <v>3234</v>
      </c>
      <c r="C320" s="3274"/>
      <c r="D320" s="3274"/>
      <c r="E320" s="3274"/>
      <c r="F320" s="3263">
        <v>0.05</v>
      </c>
      <c r="G320" s="3280"/>
    </row>
    <row r="321" spans="1:7">
      <c r="A321" s="3273" t="s">
        <v>306</v>
      </c>
      <c r="B321" s="3262" t="s">
        <v>3235</v>
      </c>
      <c r="C321" s="3274"/>
      <c r="D321" s="3274"/>
      <c r="E321" s="3274"/>
      <c r="F321" s="3263">
        <v>0.05</v>
      </c>
      <c r="G321" s="3280"/>
    </row>
    <row r="322" spans="1:7">
      <c r="A322" s="3273" t="s">
        <v>306</v>
      </c>
      <c r="B322" s="3262" t="s">
        <v>3236</v>
      </c>
      <c r="C322" s="3274"/>
      <c r="D322" s="3274"/>
      <c r="E322" s="3274"/>
      <c r="F322" s="3263">
        <v>0.05</v>
      </c>
      <c r="G322" s="3280"/>
    </row>
    <row r="323" spans="1:7">
      <c r="A323" s="3273" t="s">
        <v>306</v>
      </c>
      <c r="B323" s="3262" t="s">
        <v>3237</v>
      </c>
      <c r="C323" s="3274"/>
      <c r="D323" s="3274"/>
      <c r="E323" s="3274"/>
      <c r="F323" s="3263">
        <v>0.05</v>
      </c>
      <c r="G323" s="3280"/>
    </row>
    <row r="324" spans="1:7">
      <c r="A324" s="3273" t="s">
        <v>306</v>
      </c>
      <c r="B324" s="3262" t="s">
        <v>3238</v>
      </c>
      <c r="C324" s="3274"/>
      <c r="D324" s="3274"/>
      <c r="E324" s="3274"/>
      <c r="F324" s="3263">
        <v>0.05</v>
      </c>
      <c r="G324" s="3280"/>
    </row>
    <row r="325" spans="1:7">
      <c r="A325" s="3273" t="s">
        <v>306</v>
      </c>
      <c r="B325" s="3262" t="s">
        <v>3239</v>
      </c>
      <c r="C325" s="3274"/>
      <c r="D325" s="3274"/>
      <c r="E325" s="3274"/>
      <c r="F325" s="3263">
        <v>0.05</v>
      </c>
      <c r="G325" s="3280"/>
    </row>
    <row r="326" spans="1:7" ht="15" thickBot="1">
      <c r="A326" s="3276" t="s">
        <v>306</v>
      </c>
      <c r="B326" s="3266" t="s">
        <v>3240</v>
      </c>
      <c r="C326" s="3268"/>
      <c r="D326" s="3268"/>
      <c r="E326" s="3268"/>
      <c r="F326" s="3267">
        <v>0.05</v>
      </c>
      <c r="G326" s="3281"/>
    </row>
    <row r="327" spans="1:7">
      <c r="A327" s="3272" t="s">
        <v>307</v>
      </c>
      <c r="B327" s="3258" t="s">
        <v>2872</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2884</v>
      </c>
      <c r="C329" s="3263">
        <v>0.15</v>
      </c>
      <c r="D329" s="3263">
        <v>0.15</v>
      </c>
      <c r="E329" s="3263">
        <v>0.15</v>
      </c>
      <c r="F329" s="3263">
        <v>0.15</v>
      </c>
      <c r="G329" s="3264">
        <v>0.15</v>
      </c>
    </row>
    <row r="330" spans="1:7">
      <c r="A330" s="3273" t="s">
        <v>307</v>
      </c>
      <c r="B330" s="3262" t="s">
        <v>2888</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2896</v>
      </c>
      <c r="C332" s="3263">
        <v>0.15</v>
      </c>
      <c r="D332" s="3263">
        <v>0.15</v>
      </c>
      <c r="E332" s="3263">
        <v>0.15</v>
      </c>
      <c r="F332" s="3263">
        <v>0.15</v>
      </c>
      <c r="G332" s="3264">
        <v>0.15</v>
      </c>
    </row>
    <row r="333" spans="1:7">
      <c r="A333" s="3273" t="s">
        <v>307</v>
      </c>
      <c r="B333" s="3262" t="s">
        <v>2900</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2906</v>
      </c>
      <c r="C336" s="3263">
        <v>0.15</v>
      </c>
      <c r="D336" s="3263">
        <v>0.15</v>
      </c>
      <c r="E336" s="3263">
        <v>0.15</v>
      </c>
      <c r="F336" s="3263">
        <v>0.14199999999999999</v>
      </c>
      <c r="G336" s="3264">
        <v>0.15</v>
      </c>
    </row>
    <row r="337" spans="1:7">
      <c r="A337" s="3273" t="s">
        <v>307</v>
      </c>
      <c r="B337" s="3262" t="s">
        <v>2911</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2918</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2923</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2931</v>
      </c>
      <c r="C345" s="3263">
        <v>0.15</v>
      </c>
      <c r="D345" s="3263">
        <v>0.15</v>
      </c>
      <c r="E345" s="3263">
        <v>0.15</v>
      </c>
      <c r="F345" s="3263">
        <v>0.13800000000000001</v>
      </c>
      <c r="G345" s="3264">
        <v>0.15</v>
      </c>
    </row>
    <row r="346" spans="1:7">
      <c r="A346" s="3273" t="s">
        <v>307</v>
      </c>
      <c r="B346" s="3262" t="s">
        <v>2933</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2940</v>
      </c>
      <c r="C348" s="3263">
        <v>0.15</v>
      </c>
      <c r="D348" s="3263">
        <v>0.15</v>
      </c>
      <c r="E348" s="3263">
        <v>0.15</v>
      </c>
      <c r="F348" s="3263">
        <v>0.14399999999999999</v>
      </c>
      <c r="G348" s="3264">
        <v>0.15</v>
      </c>
    </row>
    <row r="349" spans="1:7">
      <c r="A349" s="3273" t="s">
        <v>307</v>
      </c>
      <c r="B349" s="3262" t="s">
        <v>2945</v>
      </c>
      <c r="C349" s="3263">
        <v>0.15</v>
      </c>
      <c r="D349" s="3263">
        <v>0.15</v>
      </c>
      <c r="E349" s="3263">
        <v>0.15</v>
      </c>
      <c r="F349" s="3263">
        <v>0.15</v>
      </c>
      <c r="G349" s="3264">
        <v>0.15</v>
      </c>
    </row>
    <row r="350" spans="1:7">
      <c r="A350" s="3273" t="s">
        <v>307</v>
      </c>
      <c r="B350" s="3262" t="s">
        <v>2948</v>
      </c>
      <c r="C350" s="3263">
        <v>0.15</v>
      </c>
      <c r="D350" s="3263">
        <v>0.15</v>
      </c>
      <c r="E350" s="3263">
        <v>0.15</v>
      </c>
      <c r="F350" s="3263">
        <v>0.14699999999999999</v>
      </c>
      <c r="G350" s="3264">
        <v>0.15</v>
      </c>
    </row>
    <row r="351" spans="1:7">
      <c r="A351" s="3273" t="s">
        <v>307</v>
      </c>
      <c r="B351" s="3262" t="s">
        <v>2953</v>
      </c>
      <c r="C351" s="3263">
        <v>0.15</v>
      </c>
      <c r="D351" s="3263">
        <v>0.15</v>
      </c>
      <c r="E351" s="3263">
        <v>0.15</v>
      </c>
      <c r="F351" s="3263">
        <v>0.13</v>
      </c>
      <c r="G351" s="3264">
        <v>0.15</v>
      </c>
    </row>
    <row r="352" spans="1:7">
      <c r="A352" s="3273" t="s">
        <v>307</v>
      </c>
      <c r="B352" s="3262" t="s">
        <v>2958</v>
      </c>
      <c r="C352" s="3263">
        <v>0.15</v>
      </c>
      <c r="D352" s="3263">
        <v>0.15</v>
      </c>
      <c r="E352" s="3263">
        <v>0.15</v>
      </c>
      <c r="F352" s="3263">
        <v>0.14599999999999999</v>
      </c>
      <c r="G352" s="3264">
        <v>0.15</v>
      </c>
    </row>
    <row r="353" spans="1:7">
      <c r="A353" s="3273" t="s">
        <v>307</v>
      </c>
      <c r="B353" s="3262" t="s">
        <v>2965</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2978</v>
      </c>
      <c r="C355" s="3263">
        <v>0.15</v>
      </c>
      <c r="D355" s="3263">
        <v>0.15</v>
      </c>
      <c r="E355" s="3263">
        <v>0.15</v>
      </c>
      <c r="F355" s="3263">
        <v>0.15</v>
      </c>
      <c r="G355" s="3264">
        <v>0.15</v>
      </c>
    </row>
    <row r="356" spans="1:7">
      <c r="A356" s="3273" t="s">
        <v>307</v>
      </c>
      <c r="B356" s="3262" t="s">
        <v>2985</v>
      </c>
      <c r="C356" s="3263">
        <v>0.15</v>
      </c>
      <c r="D356" s="3263">
        <v>0.15</v>
      </c>
      <c r="E356" s="3263">
        <v>0.15</v>
      </c>
      <c r="F356" s="3263">
        <v>0.15</v>
      </c>
      <c r="G356" s="3264">
        <v>0.15</v>
      </c>
    </row>
    <row r="357" spans="1:7" ht="15" thickBot="1">
      <c r="A357" s="3276" t="s">
        <v>307</v>
      </c>
      <c r="B357" s="3266" t="s">
        <v>2990</v>
      </c>
      <c r="C357" s="3267">
        <v>0.126</v>
      </c>
      <c r="D357" s="3267">
        <v>0.127</v>
      </c>
      <c r="E357" s="3267">
        <v>0.14299999999999999</v>
      </c>
      <c r="F357" s="3267">
        <v>0.125</v>
      </c>
      <c r="G357" s="3269">
        <v>0.129</v>
      </c>
    </row>
    <row r="358" spans="1:7">
      <c r="A358" s="3272" t="s">
        <v>2859</v>
      </c>
      <c r="B358" s="3258" t="s">
        <v>2873</v>
      </c>
      <c r="C358" s="3259">
        <v>0.15</v>
      </c>
      <c r="D358" s="3259">
        <v>0.15</v>
      </c>
      <c r="E358" s="3259">
        <v>0.15</v>
      </c>
      <c r="F358" s="3259">
        <v>0.15</v>
      </c>
      <c r="G358" s="3260">
        <v>0.15</v>
      </c>
    </row>
    <row r="359" spans="1:7">
      <c r="A359" s="3273" t="s">
        <v>2859</v>
      </c>
      <c r="B359" s="3262" t="s">
        <v>2879</v>
      </c>
      <c r="C359" s="3263">
        <v>0.1</v>
      </c>
      <c r="D359" s="3263">
        <v>0.1</v>
      </c>
      <c r="E359" s="3263">
        <v>0.1</v>
      </c>
      <c r="F359" s="3263">
        <v>0.1</v>
      </c>
      <c r="G359" s="3264">
        <v>0.1</v>
      </c>
    </row>
    <row r="360" spans="1:7">
      <c r="A360" s="3273" t="s">
        <v>2859</v>
      </c>
      <c r="B360" s="3262" t="s">
        <v>2885</v>
      </c>
      <c r="C360" s="3263">
        <v>0.15</v>
      </c>
      <c r="D360" s="3263">
        <v>0.15</v>
      </c>
      <c r="E360" s="3263">
        <v>0.15</v>
      </c>
      <c r="F360" s="3263">
        <v>0.14899999999999999</v>
      </c>
      <c r="G360" s="3264">
        <v>0.15</v>
      </c>
    </row>
    <row r="361" spans="1:7">
      <c r="A361" s="3273" t="s">
        <v>2859</v>
      </c>
      <c r="B361" s="3262" t="s">
        <v>153</v>
      </c>
      <c r="C361" s="3263">
        <v>0.15</v>
      </c>
      <c r="D361" s="3263">
        <v>0.15</v>
      </c>
      <c r="E361" s="3263">
        <v>0.15</v>
      </c>
      <c r="F361" s="3263">
        <v>0.115</v>
      </c>
      <c r="G361" s="3264">
        <v>0.15</v>
      </c>
    </row>
    <row r="362" spans="1:7">
      <c r="A362" s="3273" t="s">
        <v>2859</v>
      </c>
      <c r="B362" s="3262" t="s">
        <v>2892</v>
      </c>
      <c r="C362" s="3263">
        <v>0.15</v>
      </c>
      <c r="D362" s="3263">
        <v>0.15</v>
      </c>
      <c r="E362" s="3263">
        <v>0.15</v>
      </c>
      <c r="F362" s="3263">
        <v>0.106</v>
      </c>
      <c r="G362" s="3264">
        <v>0.15</v>
      </c>
    </row>
    <row r="363" spans="1:7">
      <c r="A363" s="3273" t="s">
        <v>2859</v>
      </c>
      <c r="B363" s="3262" t="s">
        <v>2897</v>
      </c>
      <c r="C363" s="3263">
        <v>0.15</v>
      </c>
      <c r="D363" s="3263">
        <v>0.15</v>
      </c>
      <c r="E363" s="3263">
        <v>0.15</v>
      </c>
      <c r="F363" s="3263">
        <v>0.14699999999999999</v>
      </c>
      <c r="G363" s="3264">
        <v>0.15</v>
      </c>
    </row>
    <row r="364" spans="1:7">
      <c r="A364" s="3273" t="s">
        <v>2859</v>
      </c>
      <c r="B364" s="3262" t="s">
        <v>2901</v>
      </c>
      <c r="C364" s="3263">
        <v>0.15</v>
      </c>
      <c r="D364" s="3263">
        <v>0.15</v>
      </c>
      <c r="E364" s="3263">
        <v>0.15</v>
      </c>
      <c r="F364" s="3263">
        <v>0.14799999999999999</v>
      </c>
      <c r="G364" s="3264">
        <v>0.15</v>
      </c>
    </row>
    <row r="365" spans="1:7">
      <c r="A365" s="3273" t="s">
        <v>2859</v>
      </c>
      <c r="B365" s="3262" t="s">
        <v>200</v>
      </c>
      <c r="C365" s="3263">
        <v>0.15</v>
      </c>
      <c r="D365" s="3263">
        <v>0.15</v>
      </c>
      <c r="E365" s="3263">
        <v>0.15</v>
      </c>
      <c r="F365" s="3263">
        <v>0.15</v>
      </c>
      <c r="G365" s="3264">
        <v>0.15</v>
      </c>
    </row>
    <row r="366" spans="1:7">
      <c r="A366" s="3273" t="s">
        <v>2859</v>
      </c>
      <c r="B366" s="3262" t="s">
        <v>2904</v>
      </c>
      <c r="C366" s="3263">
        <v>0.15</v>
      </c>
      <c r="D366" s="3263">
        <v>0.15</v>
      </c>
      <c r="E366" s="3263">
        <v>0.15</v>
      </c>
      <c r="F366" s="3263">
        <v>0.15</v>
      </c>
      <c r="G366" s="3264">
        <v>0.15</v>
      </c>
    </row>
    <row r="367" spans="1:7">
      <c r="A367" s="3273" t="s">
        <v>2859</v>
      </c>
      <c r="B367" s="3262" t="s">
        <v>2907</v>
      </c>
      <c r="C367" s="3263">
        <v>0.15</v>
      </c>
      <c r="D367" s="3263">
        <v>0.15</v>
      </c>
      <c r="E367" s="3263">
        <v>0.15</v>
      </c>
      <c r="F367" s="3263">
        <v>0.14699999999999999</v>
      </c>
      <c r="G367" s="3264">
        <v>0.15</v>
      </c>
    </row>
    <row r="368" spans="1:7">
      <c r="A368" s="3273" t="s">
        <v>2859</v>
      </c>
      <c r="B368" s="3262" t="s">
        <v>2912</v>
      </c>
      <c r="C368" s="3263">
        <v>0.15</v>
      </c>
      <c r="D368" s="3263">
        <v>0.15</v>
      </c>
      <c r="E368" s="3263">
        <v>0.15</v>
      </c>
      <c r="F368" s="3263">
        <v>0.13600000000000001</v>
      </c>
      <c r="G368" s="3264">
        <v>0.15</v>
      </c>
    </row>
    <row r="369" spans="1:7">
      <c r="A369" s="3273" t="s">
        <v>2859</v>
      </c>
      <c r="B369" s="3262" t="s">
        <v>214</v>
      </c>
      <c r="C369" s="3263">
        <v>0.15</v>
      </c>
      <c r="D369" s="3263">
        <v>0.15</v>
      </c>
      <c r="E369" s="3263">
        <v>0.15</v>
      </c>
      <c r="F369" s="3263">
        <v>0.14399999999999999</v>
      </c>
      <c r="G369" s="3264">
        <v>0.15</v>
      </c>
    </row>
    <row r="370" spans="1:7">
      <c r="A370" s="3273" t="s">
        <v>2859</v>
      </c>
      <c r="B370" s="3262" t="s">
        <v>221</v>
      </c>
      <c r="C370" s="3263">
        <v>0.15</v>
      </c>
      <c r="D370" s="3263">
        <v>0.15</v>
      </c>
      <c r="E370" s="3263">
        <v>0.15</v>
      </c>
      <c r="F370" s="3263">
        <v>0.14599999999999999</v>
      </c>
      <c r="G370" s="3264">
        <v>0.15</v>
      </c>
    </row>
    <row r="371" spans="1:7">
      <c r="A371" s="3273" t="s">
        <v>2859</v>
      </c>
      <c r="B371" s="3262" t="s">
        <v>229</v>
      </c>
      <c r="C371" s="3263">
        <v>0.15</v>
      </c>
      <c r="D371" s="3263">
        <v>0.15</v>
      </c>
      <c r="E371" s="3263">
        <v>0.15</v>
      </c>
      <c r="F371" s="3263">
        <v>0.12</v>
      </c>
      <c r="G371" s="3264">
        <v>0.15</v>
      </c>
    </row>
    <row r="372" spans="1:7">
      <c r="A372" s="3273" t="s">
        <v>2859</v>
      </c>
      <c r="B372" s="3262" t="s">
        <v>2920</v>
      </c>
      <c r="C372" s="3263">
        <v>0.15</v>
      </c>
      <c r="D372" s="3263">
        <v>0.15</v>
      </c>
      <c r="E372" s="3263">
        <v>0.15</v>
      </c>
      <c r="F372" s="3263">
        <v>0.14299999999999999</v>
      </c>
      <c r="G372" s="3264">
        <v>0.15</v>
      </c>
    </row>
    <row r="373" spans="1:7">
      <c r="A373" s="3273" t="s">
        <v>2859</v>
      </c>
      <c r="B373" s="3262" t="s">
        <v>258</v>
      </c>
      <c r="C373" s="3263">
        <v>0.15</v>
      </c>
      <c r="D373" s="3263">
        <v>0.15</v>
      </c>
      <c r="E373" s="3263">
        <v>0.15</v>
      </c>
      <c r="F373" s="3263">
        <v>0.14599999999999999</v>
      </c>
      <c r="G373" s="3264">
        <v>0.15</v>
      </c>
    </row>
    <row r="374" spans="1:7">
      <c r="A374" s="3273" t="s">
        <v>2859</v>
      </c>
      <c r="B374" s="3262" t="s">
        <v>266</v>
      </c>
      <c r="C374" s="3263">
        <v>0.15</v>
      </c>
      <c r="D374" s="3263">
        <v>0.15</v>
      </c>
      <c r="E374" s="3263">
        <v>0.15</v>
      </c>
      <c r="F374" s="3263">
        <v>0.14399999999999999</v>
      </c>
      <c r="G374" s="3264">
        <v>0.15</v>
      </c>
    </row>
    <row r="375" spans="1:7">
      <c r="A375" s="3273" t="s">
        <v>2859</v>
      </c>
      <c r="B375" s="3262" t="s">
        <v>2928</v>
      </c>
      <c r="C375" s="3263">
        <v>0.15</v>
      </c>
      <c r="D375" s="3263">
        <v>0.15</v>
      </c>
      <c r="E375" s="3263">
        <v>0.15</v>
      </c>
      <c r="F375" s="3263">
        <v>0.13</v>
      </c>
      <c r="G375" s="3264">
        <v>0.15</v>
      </c>
    </row>
    <row r="376" spans="1:7">
      <c r="A376" s="3273" t="s">
        <v>2859</v>
      </c>
      <c r="B376" s="3262" t="s">
        <v>277</v>
      </c>
      <c r="C376" s="3263">
        <v>0.15</v>
      </c>
      <c r="D376" s="3263">
        <v>0.15</v>
      </c>
      <c r="E376" s="3263">
        <v>0.15</v>
      </c>
      <c r="F376" s="3263">
        <v>0.14199999999999999</v>
      </c>
      <c r="G376" s="3264">
        <v>0.15</v>
      </c>
    </row>
    <row r="377" spans="1:7" ht="15" thickBot="1">
      <c r="A377" s="3276" t="s">
        <v>2859</v>
      </c>
      <c r="B377" s="3266" t="s">
        <v>2934</v>
      </c>
      <c r="C377" s="3267">
        <v>0.15</v>
      </c>
      <c r="D377" s="3267">
        <v>0.15</v>
      </c>
      <c r="E377" s="3267">
        <v>0.15</v>
      </c>
      <c r="F377" s="3267">
        <v>0.14000000000000001</v>
      </c>
      <c r="G377" s="3269">
        <v>0.15</v>
      </c>
    </row>
    <row r="378" spans="1:7">
      <c r="A378" s="3272" t="s">
        <v>2860</v>
      </c>
      <c r="B378" s="3258" t="s">
        <v>2874</v>
      </c>
      <c r="C378" s="3259">
        <v>0.15</v>
      </c>
      <c r="D378" s="3259">
        <v>0.15</v>
      </c>
      <c r="E378" s="3259">
        <v>0.15</v>
      </c>
      <c r="F378" s="3259">
        <v>0.107</v>
      </c>
      <c r="G378" s="3260">
        <v>0.15</v>
      </c>
    </row>
    <row r="379" spans="1:7">
      <c r="A379" s="3273" t="s">
        <v>2860</v>
      </c>
      <c r="B379" s="3262" t="s">
        <v>2880</v>
      </c>
      <c r="C379" s="3263">
        <v>0.15</v>
      </c>
      <c r="D379" s="3263">
        <v>0.15</v>
      </c>
      <c r="E379" s="3263">
        <v>0.15</v>
      </c>
      <c r="F379" s="3263">
        <v>0.115</v>
      </c>
      <c r="G379" s="3264">
        <v>0.14899999999999999</v>
      </c>
    </row>
    <row r="380" spans="1:7">
      <c r="A380" s="3273" t="s">
        <v>2860</v>
      </c>
      <c r="B380" s="3262" t="s">
        <v>2886</v>
      </c>
      <c r="C380" s="3263">
        <v>0.15</v>
      </c>
      <c r="D380" s="3263">
        <v>0.15</v>
      </c>
      <c r="E380" s="3263">
        <v>0.15</v>
      </c>
      <c r="F380" s="3263">
        <v>0.1</v>
      </c>
      <c r="G380" s="3264">
        <v>0.14799999999999999</v>
      </c>
    </row>
    <row r="381" spans="1:7">
      <c r="A381" s="3273" t="s">
        <v>2860</v>
      </c>
      <c r="B381" s="3262" t="s">
        <v>2889</v>
      </c>
      <c r="C381" s="3263">
        <v>0.15</v>
      </c>
      <c r="D381" s="3263">
        <v>0.15</v>
      </c>
      <c r="E381" s="3263">
        <v>0.15</v>
      </c>
      <c r="F381" s="3263">
        <v>0.126</v>
      </c>
      <c r="G381" s="3264">
        <v>0.15</v>
      </c>
    </row>
    <row r="382" spans="1:7">
      <c r="A382" s="3273" t="s">
        <v>2860</v>
      </c>
      <c r="B382" s="3262" t="s">
        <v>2893</v>
      </c>
      <c r="C382" s="3263">
        <v>0.15</v>
      </c>
      <c r="D382" s="3263">
        <v>0.15</v>
      </c>
      <c r="E382" s="3263">
        <v>0.15</v>
      </c>
      <c r="F382" s="3263">
        <v>0.15</v>
      </c>
      <c r="G382" s="3264">
        <v>0.15</v>
      </c>
    </row>
    <row r="383" spans="1:7">
      <c r="A383" s="3273" t="s">
        <v>2860</v>
      </c>
      <c r="B383" s="3262" t="s">
        <v>2898</v>
      </c>
      <c r="C383" s="3263">
        <v>0.15</v>
      </c>
      <c r="D383" s="3263">
        <v>0.15</v>
      </c>
      <c r="E383" s="3263">
        <v>0.15</v>
      </c>
      <c r="F383" s="3263">
        <v>0.14699999999999999</v>
      </c>
      <c r="G383" s="3264">
        <v>0.15</v>
      </c>
    </row>
    <row r="384" spans="1:7" ht="15" thickBot="1">
      <c r="A384" s="3283" t="s">
        <v>2860</v>
      </c>
      <c r="B384" s="3284" t="s">
        <v>2902</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8"/>
  </cols>
  <sheetData>
    <row r="1" spans="1:6">
      <c r="A1" s="3784" t="s">
        <v>3241</v>
      </c>
      <c r="B1" s="3784"/>
      <c r="C1" s="3784"/>
      <c r="D1" s="3784"/>
      <c r="E1" s="3784"/>
      <c r="F1" s="3785"/>
    </row>
    <row r="2" spans="1:6">
      <c r="A2" s="3289" t="s">
        <v>3242</v>
      </c>
      <c r="B2" s="3290"/>
      <c r="C2" s="3290"/>
      <c r="D2" s="3290"/>
      <c r="E2" s="3290"/>
      <c r="F2" s="3290"/>
    </row>
    <row r="3" spans="1:6">
      <c r="A3" s="3289" t="s">
        <v>3243</v>
      </c>
      <c r="B3" s="3290"/>
      <c r="C3" s="3290"/>
      <c r="D3" s="3290"/>
      <c r="E3" s="3290"/>
      <c r="F3" s="3291" t="s">
        <v>3244</v>
      </c>
    </row>
    <row r="4" spans="1:6">
      <c r="A4" s="3292" t="s">
        <v>672</v>
      </c>
      <c r="B4" s="3292" t="s">
        <v>673</v>
      </c>
      <c r="C4" s="3292" t="s">
        <v>21</v>
      </c>
      <c r="D4" s="3292" t="s">
        <v>674</v>
      </c>
      <c r="E4" s="3292" t="s">
        <v>3</v>
      </c>
      <c r="F4" s="3292" t="s">
        <v>3245</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4.4"/>
  <cols>
    <col min="1" max="1" width="13.88671875" customWidth="1"/>
  </cols>
  <sheetData>
    <row r="1" spans="1:30">
      <c r="A1" s="3219">
        <f>基准地价修正!G23</f>
        <v>44917</v>
      </c>
      <c r="B1" s="3208" t="s">
        <v>2847</v>
      </c>
      <c r="C1" s="3209"/>
      <c r="D1" s="3209"/>
      <c r="E1" s="3209"/>
      <c r="F1" s="3209"/>
      <c r="G1" s="3209"/>
      <c r="H1" s="3209"/>
      <c r="I1" s="3209"/>
      <c r="J1" s="3162"/>
      <c r="K1" s="3209" t="s">
        <v>454</v>
      </c>
      <c r="L1" s="3209"/>
      <c r="M1" s="3209"/>
      <c r="N1" s="3209"/>
      <c r="O1" s="3209"/>
      <c r="P1" s="3209"/>
      <c r="Q1" s="3162"/>
      <c r="R1" s="3786" t="s">
        <v>456</v>
      </c>
      <c r="S1" s="3787"/>
      <c r="T1" s="3787"/>
      <c r="U1" s="3787"/>
      <c r="V1" s="3787"/>
      <c r="W1" s="3787"/>
      <c r="X1" s="3162"/>
      <c r="Y1" s="3786" t="s">
        <v>457</v>
      </c>
      <c r="Z1" s="3787"/>
      <c r="AA1" s="3787"/>
      <c r="AB1" s="3787"/>
      <c r="AC1" s="3787"/>
      <c r="AD1" s="3787"/>
    </row>
    <row r="2" spans="1:30" s="3140" customFormat="1" ht="15" thickBot="1">
      <c r="B2" s="3141"/>
      <c r="C2" s="3142"/>
      <c r="D2" s="3143" t="s">
        <v>2813</v>
      </c>
      <c r="E2" s="3144" t="s">
        <v>2814</v>
      </c>
      <c r="F2" s="3144" t="s">
        <v>2815</v>
      </c>
      <c r="G2" s="3144" t="s">
        <v>2816</v>
      </c>
      <c r="H2" s="3144" t="s">
        <v>2817</v>
      </c>
      <c r="I2" s="3144" t="s">
        <v>2634</v>
      </c>
      <c r="J2" s="3145"/>
      <c r="K2" s="3143" t="s">
        <v>2813</v>
      </c>
      <c r="L2" s="3144" t="s">
        <v>2814</v>
      </c>
      <c r="M2" s="3144" t="s">
        <v>2815</v>
      </c>
      <c r="N2" s="3144" t="s">
        <v>2816</v>
      </c>
      <c r="O2" s="3144" t="s">
        <v>2818</v>
      </c>
      <c r="P2" s="3144" t="s">
        <v>2634</v>
      </c>
      <c r="Q2" s="3145"/>
      <c r="R2" s="3143" t="s">
        <v>2813</v>
      </c>
      <c r="S2" s="3144" t="s">
        <v>2814</v>
      </c>
      <c r="T2" s="3144" t="s">
        <v>2815</v>
      </c>
      <c r="U2" s="3144" t="s">
        <v>2819</v>
      </c>
      <c r="V2" s="3144" t="s">
        <v>2820</v>
      </c>
      <c r="W2" s="3144" t="s">
        <v>2634</v>
      </c>
      <c r="X2" s="3145"/>
      <c r="Y2" s="3143" t="s">
        <v>2813</v>
      </c>
      <c r="Z2" s="3144" t="s">
        <v>2814</v>
      </c>
      <c r="AA2" s="3144" t="s">
        <v>2815</v>
      </c>
      <c r="AB2" s="3144" t="s">
        <v>2821</v>
      </c>
      <c r="AC2" s="3144" t="s">
        <v>2820</v>
      </c>
      <c r="AD2" s="3144" t="s">
        <v>2634</v>
      </c>
    </row>
    <row r="3" spans="1:30" s="3158" customFormat="1" ht="13.2">
      <c r="A3" s="3146" t="s">
        <v>2822</v>
      </c>
      <c r="B3" s="3147"/>
      <c r="C3" s="3148"/>
      <c r="D3" s="3148">
        <f>ROUND(AVERAGEIF(D4:D13,"&lt;&gt;0"),2)</f>
        <v>0.84</v>
      </c>
      <c r="E3" s="3148">
        <f t="shared" ref="E3:H3" si="0">ROUND(AVERAGEIF(E4:E13,"&lt;&gt;0"),2)</f>
        <v>0.35</v>
      </c>
      <c r="F3" s="3148">
        <f t="shared" si="0"/>
        <v>0.15</v>
      </c>
      <c r="G3" s="3148">
        <f t="shared" si="0"/>
        <v>0.92</v>
      </c>
      <c r="H3" s="3148">
        <f t="shared" si="0"/>
        <v>0.68</v>
      </c>
      <c r="I3" s="3148">
        <f>F3</f>
        <v>0.15</v>
      </c>
      <c r="J3" s="3149"/>
      <c r="K3" s="3150">
        <f>ROUND(AVERAGEIF(K4:K13,"&lt;&gt;0"),4)</f>
        <v>8.3999999999999995E-3</v>
      </c>
      <c r="L3" s="3151">
        <f t="shared" ref="L3:O3" si="1">ROUND(AVERAGEIF(L4:L13,"&lt;&gt;0"),4)</f>
        <v>3.5000000000000001E-3</v>
      </c>
      <c r="M3" s="3151">
        <f t="shared" si="1"/>
        <v>1.5E-3</v>
      </c>
      <c r="N3" s="3151">
        <f t="shared" si="1"/>
        <v>9.1999999999999998E-3</v>
      </c>
      <c r="O3" s="3151">
        <f t="shared" si="1"/>
        <v>6.7999999999999996E-3</v>
      </c>
      <c r="P3" s="3151">
        <f>M3</f>
        <v>1.5E-3</v>
      </c>
      <c r="Q3" s="3149"/>
      <c r="R3" s="3152">
        <f>ROUND(SUMPRODUCT(PRODUCT(1+K4:K13)),4)</f>
        <v>1.0602</v>
      </c>
      <c r="S3" s="3153">
        <f t="shared" ref="S3:V3" si="2">ROUND(SUMPRODUCT(PRODUCT(1+L4:L13)),4)</f>
        <v>1.0246</v>
      </c>
      <c r="T3" s="3153">
        <f t="shared" si="2"/>
        <v>1.0107999999999999</v>
      </c>
      <c r="U3" s="3153">
        <f t="shared" si="2"/>
        <v>1.0662</v>
      </c>
      <c r="V3" s="3153">
        <f t="shared" si="2"/>
        <v>1.0485</v>
      </c>
      <c r="W3" s="3152">
        <f>T3</f>
        <v>1.0107999999999999</v>
      </c>
      <c r="X3" s="3149"/>
      <c r="Y3" s="3154">
        <f>ROUND(AVERAGEIF(Y5:Y13,"&lt;&gt;0"),4)</f>
        <v>8.8000000000000005E-3</v>
      </c>
      <c r="Z3" s="3155">
        <f t="shared" ref="Z3:AC3" si="3">ROUND(AVERAGEIF(Z5:Z13,"&lt;&gt;0"),4)</f>
        <v>3.5999999999999999E-3</v>
      </c>
      <c r="AA3" s="3156">
        <f t="shared" si="3"/>
        <v>8.0000000000000004E-4</v>
      </c>
      <c r="AB3" s="3154">
        <f t="shared" si="3"/>
        <v>9.5999999999999992E-3</v>
      </c>
      <c r="AC3" s="3157">
        <f t="shared" si="3"/>
        <v>6.1000000000000004E-3</v>
      </c>
      <c r="AD3" s="3154">
        <f>AA3</f>
        <v>8.0000000000000004E-4</v>
      </c>
    </row>
    <row r="4" spans="1:30" s="3159" customFormat="1" ht="13.2">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3.2">
      <c r="A5" s="3173" t="s">
        <v>2823</v>
      </c>
      <c r="B5" s="3174">
        <v>2023</v>
      </c>
      <c r="C5" s="3175">
        <v>1</v>
      </c>
      <c r="D5" s="3176">
        <v>0</v>
      </c>
      <c r="E5" s="3176">
        <v>0</v>
      </c>
      <c r="F5" s="3176">
        <v>0</v>
      </c>
      <c r="G5" s="3176">
        <v>0</v>
      </c>
      <c r="H5" s="3176">
        <v>0</v>
      </c>
      <c r="I5" s="3177">
        <f t="shared" ref="I5:I13" si="4">F5</f>
        <v>0</v>
      </c>
      <c r="J5" s="3178"/>
      <c r="K5" s="3179">
        <f t="shared" ref="K5:O13" si="5">D5/100</f>
        <v>0</v>
      </c>
      <c r="L5" s="3169">
        <f t="shared" si="5"/>
        <v>0</v>
      </c>
      <c r="M5" s="3169">
        <f t="shared" si="5"/>
        <v>0</v>
      </c>
      <c r="N5" s="3169">
        <f t="shared" si="5"/>
        <v>0</v>
      </c>
      <c r="O5" s="3169">
        <f t="shared" si="5"/>
        <v>0</v>
      </c>
      <c r="P5" s="3169">
        <f>M5</f>
        <v>0</v>
      </c>
      <c r="Q5" s="3178"/>
      <c r="R5" s="3180">
        <f>ROUND(IF([2]项目基本情况!B8="出让",SUMPRODUCT(PRODUCT(1+K5:K13)),SUMPRODUCT(PRODUCT(1+K5:K12))),4)</f>
        <v>1.05</v>
      </c>
      <c r="S5" s="3180">
        <f>ROUND(IF([2]项目基本情况!B8="出让",SUMPRODUCT(PRODUCT(1+L5:L13)),SUMPRODUCT(PRODUCT(1+L5:L12))),4)</f>
        <v>1.0229999999999999</v>
      </c>
      <c r="T5" s="3180">
        <f>ROUND(IF([2]项目基本情况!B8="出让",SUMPRODUCT(PRODUCT(1+M5:M13)),SUMPRODUCT(PRODUCT(1+M5:M12))),4)</f>
        <v>1.0134000000000001</v>
      </c>
      <c r="U5" s="3180">
        <f>ROUND(IF([2]项目基本情况!B8="出让",SUMPRODUCT(PRODUCT(1+N5:N13)),SUMPRODUCT(PRODUCT(1+N5:N12))),4)</f>
        <v>1.0545</v>
      </c>
      <c r="V5" s="3180">
        <f>ROUND(IF([2]项目基本情况!B8="出让",SUMPRODUCT(PRODUCT(1+O5:O13)),SUMPRODUCT(PRODUCT(1+O5:O12))),4)</f>
        <v>1.0447</v>
      </c>
      <c r="W5" s="3180">
        <f>T5</f>
        <v>1.0134000000000001</v>
      </c>
      <c r="X5" s="3178"/>
      <c r="Y5" s="3181">
        <f>IF(D5=0,0,ROUND(AVERAGE(D5:D13)/100,4))</f>
        <v>0</v>
      </c>
      <c r="Z5" s="3181">
        <f t="shared" ref="Z5:AC5" si="6">IF(E5=0,0,ROUND(AVERAGE(E5:E13)/100,4))</f>
        <v>0</v>
      </c>
      <c r="AA5" s="3181">
        <f t="shared" si="6"/>
        <v>0</v>
      </c>
      <c r="AB5" s="3181">
        <f t="shared" si="6"/>
        <v>0</v>
      </c>
      <c r="AC5" s="3181">
        <f t="shared" si="6"/>
        <v>0</v>
      </c>
      <c r="AD5" s="3181">
        <f t="shared" ref="AD5:AD12" si="7">AA5</f>
        <v>0</v>
      </c>
    </row>
    <row r="6" spans="1:30" s="3183" customFormat="1" ht="13.2">
      <c r="A6" s="3173" t="s">
        <v>2824</v>
      </c>
      <c r="B6" s="3174">
        <v>2022</v>
      </c>
      <c r="C6" s="3175">
        <v>4</v>
      </c>
      <c r="D6" s="3176">
        <v>0</v>
      </c>
      <c r="E6" s="3176">
        <v>0</v>
      </c>
      <c r="F6" s="3176">
        <v>0</v>
      </c>
      <c r="G6" s="3176">
        <v>0</v>
      </c>
      <c r="H6" s="3176">
        <v>0</v>
      </c>
      <c r="I6" s="3177">
        <f t="shared" si="4"/>
        <v>0</v>
      </c>
      <c r="J6" s="3178"/>
      <c r="K6" s="3179">
        <f t="shared" si="5"/>
        <v>0</v>
      </c>
      <c r="L6" s="3169">
        <f t="shared" si="5"/>
        <v>0</v>
      </c>
      <c r="M6" s="3169">
        <f t="shared" si="5"/>
        <v>0</v>
      </c>
      <c r="N6" s="3169">
        <f t="shared" si="5"/>
        <v>0</v>
      </c>
      <c r="O6" s="3169">
        <f t="shared" si="5"/>
        <v>0</v>
      </c>
      <c r="P6" s="3169">
        <f t="shared" ref="P6:P13" si="8">M6</f>
        <v>0</v>
      </c>
      <c r="Q6" s="3178"/>
      <c r="R6" s="3180">
        <f>ROUND(IF([2]项目基本情况!B8="出让",SUMPRODUCT(PRODUCT(1+K6:K13)),SUMPRODUCT(PRODUCT(1+K6:K12))),4)</f>
        <v>1.05</v>
      </c>
      <c r="S6" s="3180">
        <f>ROUND(IF([2]项目基本情况!B8="出让",SUMPRODUCT(PRODUCT(1+L6:L13)),SUMPRODUCT(PRODUCT(1+L6:L12))),4)</f>
        <v>1.0229999999999999</v>
      </c>
      <c r="T6" s="3180">
        <f>ROUND(IF([2]项目基本情况!B8="出让",SUMPRODUCT(PRODUCT(1+M6:M13)),SUMPRODUCT(PRODUCT(1+M6:M12))),4)</f>
        <v>1.0134000000000001</v>
      </c>
      <c r="U6" s="3180">
        <f>ROUND(IF([2]项目基本情况!B8="出让",SUMPRODUCT(PRODUCT(1+N6:N13)),SUMPRODUCT(PRODUCT(1+N6:N12))),4)</f>
        <v>1.0545</v>
      </c>
      <c r="V6" s="3180">
        <f>ROUND(IF([2]项目基本情况!B8="出让",SUMPRODUCT(PRODUCT(1+O6:O13)),SUMPRODUCT(PRODUCT(1+O6:O12))),4)</f>
        <v>1.0447</v>
      </c>
      <c r="W6" s="3180">
        <f t="shared" ref="W6:W13" si="9">T6</f>
        <v>1.0134000000000001</v>
      </c>
      <c r="X6" s="3178"/>
      <c r="Y6" s="3181">
        <f>IF(D6=0,0,ROUND(AVERAGE(D6:D14)/100,4))</f>
        <v>0</v>
      </c>
      <c r="Z6" s="3181">
        <f t="shared" ref="Z6:AC6" si="10">IF(E6=0,0,ROUND(AVERAGE(E6:E13)/100,4))</f>
        <v>0</v>
      </c>
      <c r="AA6" s="3181">
        <f t="shared" si="10"/>
        <v>0</v>
      </c>
      <c r="AB6" s="3181">
        <f t="shared" si="10"/>
        <v>0</v>
      </c>
      <c r="AC6" s="3181">
        <f t="shared" si="10"/>
        <v>0</v>
      </c>
      <c r="AD6" s="3181">
        <f t="shared" si="7"/>
        <v>0</v>
      </c>
    </row>
    <row r="7" spans="1:30" s="3193" customFormat="1" ht="13.2">
      <c r="A7" s="3184" t="s">
        <v>3363</v>
      </c>
      <c r="B7" s="3185">
        <v>2022</v>
      </c>
      <c r="C7" s="3186">
        <v>3</v>
      </c>
      <c r="D7" s="3187">
        <v>0.66</v>
      </c>
      <c r="E7" s="3187">
        <v>0.32</v>
      </c>
      <c r="F7" s="3187">
        <v>0.23</v>
      </c>
      <c r="G7" s="3187">
        <v>0.72</v>
      </c>
      <c r="H7" s="3188">
        <v>0.63</v>
      </c>
      <c r="I7" s="3189">
        <f t="shared" si="4"/>
        <v>0.23</v>
      </c>
      <c r="J7" s="3190"/>
      <c r="K7" s="3191">
        <f t="shared" si="5"/>
        <v>6.6E-3</v>
      </c>
      <c r="L7" s="3192">
        <f t="shared" si="5"/>
        <v>3.2000000000000002E-3</v>
      </c>
      <c r="M7" s="3192">
        <f t="shared" si="5"/>
        <v>2.3E-3</v>
      </c>
      <c r="N7" s="3192">
        <f t="shared" si="5"/>
        <v>7.1999999999999998E-3</v>
      </c>
      <c r="O7" s="3192">
        <f t="shared" si="5"/>
        <v>6.3E-3</v>
      </c>
      <c r="P7" s="3192">
        <f t="shared" si="8"/>
        <v>2.3E-3</v>
      </c>
      <c r="Q7" s="3190"/>
      <c r="R7" s="3190">
        <f>ROUND(IF([2]项目基本情况!B8="出让",SUMPRODUCT(PRODUCT(1+K7:K13)),SUMPRODUCT(PRODUCT(1+K7:K12))),4)</f>
        <v>1.05</v>
      </c>
      <c r="S7" s="3190">
        <f>ROUND(IF([2]项目基本情况!B8="出让",SUMPRODUCT(PRODUCT(1+L7:L13)),SUMPRODUCT(PRODUCT(1+L7:L12))),4)</f>
        <v>1.0229999999999999</v>
      </c>
      <c r="T7" s="3190">
        <f>ROUND(IF([2]项目基本情况!B8="出让",SUMPRODUCT(PRODUCT(1+M7:M13)),SUMPRODUCT(PRODUCT(1+M7:M12))),4)</f>
        <v>1.0134000000000001</v>
      </c>
      <c r="U7" s="3190">
        <f>ROUND(IF([2]项目基本情况!B8="出让",SUMPRODUCT(PRODUCT(1+N7:N13)),SUMPRODUCT(PRODUCT(1+N7:N12))),4)</f>
        <v>1.0545</v>
      </c>
      <c r="V7" s="3190">
        <f>ROUND(IF([2]项目基本情况!B8="出让",SUMPRODUCT(PRODUCT(1+O7:O13)),SUMPRODUCT(PRODUCT(1+O7:O12))),4)</f>
        <v>1.0447</v>
      </c>
      <c r="W7" s="3190">
        <f t="shared" si="9"/>
        <v>1.0134000000000001</v>
      </c>
      <c r="X7" s="3190"/>
      <c r="Y7" s="3192">
        <f>IF(D7=0,0,ROUND(AVERAGE(D7:D13)/100,4))</f>
        <v>8.3999999999999995E-3</v>
      </c>
      <c r="Z7" s="3192">
        <f t="shared" ref="Z7:AC7" si="11">IF(E7=0,0,ROUND(AVERAGE(E7:E13)/100,4))</f>
        <v>3.5000000000000001E-3</v>
      </c>
      <c r="AA7" s="3192">
        <f t="shared" si="11"/>
        <v>1.5E-3</v>
      </c>
      <c r="AB7" s="3192">
        <f t="shared" si="11"/>
        <v>9.1999999999999998E-3</v>
      </c>
      <c r="AC7" s="3192">
        <f t="shared" si="11"/>
        <v>6.7999999999999996E-3</v>
      </c>
      <c r="AD7" s="3192">
        <f t="shared" si="7"/>
        <v>1.5E-3</v>
      </c>
    </row>
    <row r="8" spans="1:30" s="3182" customFormat="1" ht="13.2">
      <c r="A8" s="3173" t="s">
        <v>3364</v>
      </c>
      <c r="B8" s="3174">
        <v>2022</v>
      </c>
      <c r="C8" s="3175">
        <v>2</v>
      </c>
      <c r="D8" s="3176">
        <v>0.93</v>
      </c>
      <c r="E8" s="3176">
        <v>0.15</v>
      </c>
      <c r="F8" s="3176">
        <v>0.01</v>
      </c>
      <c r="G8" s="3176">
        <v>1.05</v>
      </c>
      <c r="H8" s="3194">
        <v>1.08</v>
      </c>
      <c r="I8" s="3177">
        <f t="shared" si="4"/>
        <v>0.01</v>
      </c>
      <c r="J8" s="3178"/>
      <c r="K8" s="3179">
        <f t="shared" si="5"/>
        <v>9.300000000000001E-3</v>
      </c>
      <c r="L8" s="3169">
        <f t="shared" si="5"/>
        <v>1.5E-3</v>
      </c>
      <c r="M8" s="3169">
        <f t="shared" si="5"/>
        <v>1E-4</v>
      </c>
      <c r="N8" s="3169">
        <f t="shared" si="5"/>
        <v>1.0500000000000001E-2</v>
      </c>
      <c r="O8" s="3169">
        <f t="shared" si="5"/>
        <v>1.0800000000000001E-2</v>
      </c>
      <c r="P8" s="3169">
        <f t="shared" si="8"/>
        <v>1E-4</v>
      </c>
      <c r="Q8" s="3178"/>
      <c r="R8" s="3180">
        <f>ROUND(IF([2]项目基本情况!B8="出让",SUMPRODUCT(PRODUCT(1+K8:K13)),SUMPRODUCT(PRODUCT(1+K8:K12))),4)</f>
        <v>1.0430999999999999</v>
      </c>
      <c r="S8" s="3180">
        <f>ROUND(IF([2]项目基本情况!B8="出让",SUMPRODUCT(PRODUCT(1+L8:L13)),SUMPRODUCT(PRODUCT(1+L8:L12))),4)</f>
        <v>1.0197000000000001</v>
      </c>
      <c r="T8" s="3180">
        <f>ROUND(IF([2]项目基本情况!B8="出让",SUMPRODUCT(PRODUCT(1+M8:M13)),SUMPRODUCT(PRODUCT(1+M8:M12))),4)</f>
        <v>1.0109999999999999</v>
      </c>
      <c r="U8" s="3180">
        <f>ROUND(IF([2]项目基本情况!B8="出让",SUMPRODUCT(PRODUCT(1+N8:N13)),SUMPRODUCT(PRODUCT(1+N8:N12))),4)</f>
        <v>1.0468999999999999</v>
      </c>
      <c r="V8" s="3180">
        <f>ROUND(IF([2]项目基本情况!B8="出让",SUMPRODUCT(PRODUCT(1+O8:O13)),SUMPRODUCT(PRODUCT(1+O8:O12))),4)</f>
        <v>1.0382</v>
      </c>
      <c r="W8" s="3180">
        <f t="shared" si="9"/>
        <v>1.0109999999999999</v>
      </c>
      <c r="X8" s="3178"/>
      <c r="Y8" s="3181">
        <f>IF(D8=0,0,ROUND(AVERAGE(D8:D13)/100,4))</f>
        <v>8.6999999999999994E-3</v>
      </c>
      <c r="Z8" s="3181">
        <f t="shared" ref="Z8:AC8" si="12">IF(E8=0,0,ROUND(AVERAGE(E8:E13)/100,4))</f>
        <v>3.5000000000000001E-3</v>
      </c>
      <c r="AA8" s="3181">
        <f t="shared" si="12"/>
        <v>1.4E-3</v>
      </c>
      <c r="AB8" s="3181">
        <f t="shared" si="12"/>
        <v>9.4999999999999998E-3</v>
      </c>
      <c r="AC8" s="3181">
        <f t="shared" si="12"/>
        <v>6.8999999999999999E-3</v>
      </c>
      <c r="AD8" s="3181">
        <f t="shared" si="7"/>
        <v>1.4E-3</v>
      </c>
    </row>
    <row r="9" spans="1:30" s="3182" customFormat="1" ht="13.2">
      <c r="A9" s="3173" t="s">
        <v>2825</v>
      </c>
      <c r="B9" s="3174">
        <v>2022</v>
      </c>
      <c r="C9" s="3175">
        <v>1</v>
      </c>
      <c r="D9" s="3176">
        <v>0.89</v>
      </c>
      <c r="E9" s="3176">
        <v>0.44</v>
      </c>
      <c r="F9" s="3176">
        <v>0.37</v>
      </c>
      <c r="G9" s="3176">
        <v>0.96</v>
      </c>
      <c r="H9" s="3194">
        <v>0.64</v>
      </c>
      <c r="I9" s="3177">
        <f t="shared" si="4"/>
        <v>0.37</v>
      </c>
      <c r="J9" s="3178"/>
      <c r="K9" s="3179">
        <f t="shared" si="5"/>
        <v>8.8999999999999999E-3</v>
      </c>
      <c r="L9" s="3169">
        <f t="shared" si="5"/>
        <v>4.4000000000000003E-3</v>
      </c>
      <c r="M9" s="3169">
        <f t="shared" si="5"/>
        <v>3.7000000000000002E-3</v>
      </c>
      <c r="N9" s="3169">
        <f t="shared" si="5"/>
        <v>9.5999999999999992E-3</v>
      </c>
      <c r="O9" s="3169">
        <f t="shared" si="5"/>
        <v>6.4000000000000003E-3</v>
      </c>
      <c r="P9" s="3169">
        <f t="shared" si="8"/>
        <v>3.7000000000000002E-3</v>
      </c>
      <c r="Q9" s="3178"/>
      <c r="R9" s="3180">
        <f>ROUND(IF([2]项目基本情况!B8="出让",SUMPRODUCT(PRODUCT(1+K9:K13)),SUMPRODUCT(PRODUCT(1+K9:K12))),4)</f>
        <v>1.0335000000000001</v>
      </c>
      <c r="S9" s="3180">
        <f>ROUND(IF([2]项目基本情况!B8="出让",SUMPRODUCT(PRODUCT(1+L9:L13)),SUMPRODUCT(PRODUCT(1+L9:L12))),4)</f>
        <v>1.0182</v>
      </c>
      <c r="T9" s="3180">
        <f>ROUND(IF([2]项目基本情况!B8="出让",SUMPRODUCT(PRODUCT(1+M9:M13)),SUMPRODUCT(PRODUCT(1+M9:M12))),4)</f>
        <v>1.0108999999999999</v>
      </c>
      <c r="U9" s="3180">
        <f>ROUND(IF([2]项目基本情况!B8="出让",SUMPRODUCT(PRODUCT(1+N9:N13)),SUMPRODUCT(PRODUCT(1+N9:N12))),4)</f>
        <v>1.0361</v>
      </c>
      <c r="V9" s="3180">
        <f>ROUND(IF([2]项目基本情况!B8="出让",SUMPRODUCT(PRODUCT(1+O9:O13)),SUMPRODUCT(PRODUCT(1+O9:O12))),4)</f>
        <v>1.0270999999999999</v>
      </c>
      <c r="W9" s="3180">
        <f t="shared" si="9"/>
        <v>1.0108999999999999</v>
      </c>
      <c r="X9" s="3178"/>
      <c r="Y9" s="3181">
        <f>IF(D9=0,0,ROUND(AVERAGE(D9:D13)/100,4))</f>
        <v>8.6E-3</v>
      </c>
      <c r="Z9" s="3181">
        <f t="shared" ref="Z9:AC9" si="13">IF(E9=0,0,ROUND(AVERAGE(E9:E13)/100,4))</f>
        <v>3.8999999999999998E-3</v>
      </c>
      <c r="AA9" s="3181">
        <f t="shared" si="13"/>
        <v>1.6999999999999999E-3</v>
      </c>
      <c r="AB9" s="3181">
        <f t="shared" si="13"/>
        <v>9.2999999999999992E-3</v>
      </c>
      <c r="AC9" s="3181">
        <f t="shared" si="13"/>
        <v>6.1000000000000004E-3</v>
      </c>
      <c r="AD9" s="3181">
        <f t="shared" si="7"/>
        <v>1.6999999999999999E-3</v>
      </c>
    </row>
    <row r="10" spans="1:30" s="3182" customFormat="1" ht="13.2">
      <c r="A10" s="3173" t="s">
        <v>2826</v>
      </c>
      <c r="B10" s="3174">
        <v>2021</v>
      </c>
      <c r="C10" s="3175">
        <v>4</v>
      </c>
      <c r="D10" s="3176">
        <v>1.03</v>
      </c>
      <c r="E10" s="3176">
        <v>0.24</v>
      </c>
      <c r="F10" s="3176">
        <v>7.0000000000000007E-2</v>
      </c>
      <c r="G10" s="3176">
        <v>1.17</v>
      </c>
      <c r="H10" s="3194">
        <v>0.55000000000000004</v>
      </c>
      <c r="I10" s="3177">
        <f t="shared" si="4"/>
        <v>7.0000000000000007E-2</v>
      </c>
      <c r="J10" s="3178"/>
      <c r="K10" s="3179">
        <f t="shared" si="5"/>
        <v>1.03E-2</v>
      </c>
      <c r="L10" s="3169">
        <f t="shared" si="5"/>
        <v>2.3999999999999998E-3</v>
      </c>
      <c r="M10" s="3169">
        <f t="shared" si="5"/>
        <v>7.000000000000001E-4</v>
      </c>
      <c r="N10" s="3169">
        <f t="shared" si="5"/>
        <v>1.1699999999999999E-2</v>
      </c>
      <c r="O10" s="3169">
        <f t="shared" si="5"/>
        <v>5.5000000000000005E-3</v>
      </c>
      <c r="P10" s="3169">
        <f t="shared" si="8"/>
        <v>7.000000000000001E-4</v>
      </c>
      <c r="Q10" s="3178"/>
      <c r="R10" s="3180">
        <f>ROUND(IF([2]项目基本情况!B8="出让",SUMPRODUCT(PRODUCT(1+K10:K13)),SUMPRODUCT(PRODUCT(1+K10:K12))),4)</f>
        <v>1.0244</v>
      </c>
      <c r="S10" s="3180">
        <f>ROUND(IF([2]项目基本情况!B8="出让",SUMPRODUCT(PRODUCT(1+L10:L13)),SUMPRODUCT(PRODUCT(1+L10:L12))),4)</f>
        <v>1.0138</v>
      </c>
      <c r="T10" s="3180">
        <f>ROUND(IF([2]项目基本情况!B8="出让",SUMPRODUCT(PRODUCT(1+M10:M13)),SUMPRODUCT(PRODUCT(1+M10:M12))),4)</f>
        <v>1.0072000000000001</v>
      </c>
      <c r="U10" s="3180">
        <f>ROUND(IF([2]项目基本情况!B8="出让",SUMPRODUCT(PRODUCT(1+N10:N13)),SUMPRODUCT(PRODUCT(1+N10:N12))),4)</f>
        <v>1.0262</v>
      </c>
      <c r="V10" s="3180">
        <f>ROUND(IF([2]项目基本情况!B8="出让",SUMPRODUCT(PRODUCT(1+O10:O13)),SUMPRODUCT(PRODUCT(1+O10:O12))),4)</f>
        <v>1.0205</v>
      </c>
      <c r="W10" s="3180">
        <f t="shared" si="9"/>
        <v>1.0072000000000001</v>
      </c>
      <c r="X10" s="3178"/>
      <c r="Y10" s="3181">
        <f>IF(D10=0,0,ROUND(AVERAGE(D10:D13)/100,4))</f>
        <v>8.5000000000000006E-3</v>
      </c>
      <c r="Z10" s="3181">
        <f t="shared" ref="Z10:AC10" si="14">IF(E10=0,0,ROUND(AVERAGE(E10:E13)/100,4))</f>
        <v>3.8E-3</v>
      </c>
      <c r="AA10" s="3181">
        <f t="shared" si="14"/>
        <v>1.1999999999999999E-3</v>
      </c>
      <c r="AB10" s="3181">
        <f t="shared" si="14"/>
        <v>9.2999999999999992E-3</v>
      </c>
      <c r="AC10" s="3181">
        <f t="shared" si="14"/>
        <v>6.0000000000000001E-3</v>
      </c>
      <c r="AD10" s="3181">
        <f t="shared" si="7"/>
        <v>1.1999999999999999E-3</v>
      </c>
    </row>
    <row r="11" spans="1:30" s="3182" customFormat="1" ht="13.2">
      <c r="A11" s="3173" t="s">
        <v>2827</v>
      </c>
      <c r="B11" s="3174">
        <v>2021</v>
      </c>
      <c r="C11" s="3175">
        <v>3</v>
      </c>
      <c r="D11" s="3176">
        <v>0.47</v>
      </c>
      <c r="E11" s="3176">
        <v>0.41</v>
      </c>
      <c r="F11" s="3176">
        <v>0.24</v>
      </c>
      <c r="G11" s="3176">
        <v>0.48</v>
      </c>
      <c r="H11" s="3194">
        <v>0.48</v>
      </c>
      <c r="I11" s="3177">
        <f t="shared" si="4"/>
        <v>0.24</v>
      </c>
      <c r="J11" s="3178"/>
      <c r="K11" s="3179">
        <f t="shared" si="5"/>
        <v>4.6999999999999993E-3</v>
      </c>
      <c r="L11" s="3169">
        <f t="shared" si="5"/>
        <v>4.0999999999999995E-3</v>
      </c>
      <c r="M11" s="3169">
        <f t="shared" si="5"/>
        <v>2.3999999999999998E-3</v>
      </c>
      <c r="N11" s="3169">
        <f t="shared" si="5"/>
        <v>4.7999999999999996E-3</v>
      </c>
      <c r="O11" s="3169">
        <f t="shared" si="5"/>
        <v>4.7999999999999996E-3</v>
      </c>
      <c r="P11" s="3169">
        <f t="shared" si="8"/>
        <v>2.3999999999999998E-3</v>
      </c>
      <c r="Q11" s="3178"/>
      <c r="R11" s="3180">
        <f>ROUND(IF([2]项目基本情况!B8="出让",SUMPRODUCT(PRODUCT(1+K11:K13)),SUMPRODUCT(PRODUCT(1+K11:K12))),4)</f>
        <v>1.0139</v>
      </c>
      <c r="S11" s="3180">
        <f>ROUND(IF([2]项目基本情况!B8="出让",SUMPRODUCT(PRODUCT(1+L11:L13)),SUMPRODUCT(PRODUCT(1+L11:L12))),4)</f>
        <v>1.0113000000000001</v>
      </c>
      <c r="T11" s="3180">
        <f>ROUND(IF([2]项目基本情况!B8="出让",SUMPRODUCT(PRODUCT(1+M11:M13)),SUMPRODUCT(PRODUCT(1+M11:M12))),4)</f>
        <v>1.0065</v>
      </c>
      <c r="U11" s="3180">
        <f>ROUND(IF([2]项目基本情况!B8="出让",SUMPRODUCT(PRODUCT(1+N11:N13)),SUMPRODUCT(PRODUCT(1+N11:N12))),4)</f>
        <v>1.0143</v>
      </c>
      <c r="V11" s="3180">
        <f>ROUND(IF([2]项目基本情况!B8="出让",SUMPRODUCT(PRODUCT(1+O11:O13)),SUMPRODUCT(PRODUCT(1+O11:O12))),4)</f>
        <v>1.0148999999999999</v>
      </c>
      <c r="W11" s="3180">
        <f t="shared" si="9"/>
        <v>1.0065</v>
      </c>
      <c r="X11" s="3178"/>
      <c r="Y11" s="3181">
        <f>IF(D11=0,0,ROUND(AVERAGE(D11:D13)/100,4))</f>
        <v>7.9000000000000008E-3</v>
      </c>
      <c r="Z11" s="3181">
        <f>IF(E11=0,0,ROUND(AVERAGE(E11:E13)/100,4))</f>
        <v>4.3E-3</v>
      </c>
      <c r="AA11" s="3181">
        <f>IF(F11=0,0,ROUND(AVERAGE(F11:F13)/100,4))</f>
        <v>1.2999999999999999E-3</v>
      </c>
      <c r="AB11" s="3181">
        <f>IF(G11=0,0,ROUND(AVERAGE(G11:G13)/100,4))</f>
        <v>8.5000000000000006E-3</v>
      </c>
      <c r="AC11" s="3181">
        <f>IF(H11=0,0,ROUND(AVERAGE(H11:H13)/100,4))</f>
        <v>6.1999999999999998E-3</v>
      </c>
      <c r="AD11" s="3181">
        <f t="shared" si="7"/>
        <v>1.2999999999999999E-3</v>
      </c>
    </row>
    <row r="12" spans="1:30" s="3182" customFormat="1" ht="13.2">
      <c r="A12" s="3173" t="s">
        <v>2828</v>
      </c>
      <c r="B12" s="3174">
        <v>2021</v>
      </c>
      <c r="C12" s="3175">
        <v>2</v>
      </c>
      <c r="D12" s="3176">
        <v>0.92</v>
      </c>
      <c r="E12" s="3176">
        <v>0.72</v>
      </c>
      <c r="F12" s="3176">
        <v>0.41</v>
      </c>
      <c r="G12" s="3176">
        <v>0.95</v>
      </c>
      <c r="H12" s="3194">
        <v>1.01</v>
      </c>
      <c r="I12" s="3177">
        <f t="shared" si="4"/>
        <v>0.41</v>
      </c>
      <c r="J12" s="3178"/>
      <c r="K12" s="3179">
        <f t="shared" si="5"/>
        <v>9.1999999999999998E-3</v>
      </c>
      <c r="L12" s="3169">
        <f t="shared" si="5"/>
        <v>7.1999999999999998E-3</v>
      </c>
      <c r="M12" s="3169">
        <f t="shared" si="5"/>
        <v>4.0999999999999995E-3</v>
      </c>
      <c r="N12" s="3169">
        <f t="shared" si="5"/>
        <v>9.4999999999999998E-3</v>
      </c>
      <c r="O12" s="3169">
        <f t="shared" si="5"/>
        <v>1.01E-2</v>
      </c>
      <c r="P12" s="3169">
        <f t="shared" si="8"/>
        <v>4.0999999999999995E-3</v>
      </c>
      <c r="Q12" s="3178"/>
      <c r="R12" s="3180">
        <f>ROUND(IF([2]项目基本情况!B8="出让",SUMPRODUCT(PRODUCT(1+K12:K13)),SUMPRODUCT(PRODUCT(1+K12:K12))),4)</f>
        <v>1.0092000000000001</v>
      </c>
      <c r="S12" s="3180">
        <f>ROUND(IF([2]项目基本情况!B8="出让",SUMPRODUCT(PRODUCT(1+L12:L13)),SUMPRODUCT(PRODUCT(1+L12:L12))),4)</f>
        <v>1.0072000000000001</v>
      </c>
      <c r="T12" s="3180">
        <f>ROUND(IF([2]项目基本情况!B8="出让",SUMPRODUCT(PRODUCT(1+M12:M13)),SUMPRODUCT(PRODUCT(1+M12:M12))),4)</f>
        <v>1.0041</v>
      </c>
      <c r="U12" s="3180">
        <f>ROUND(IF([2]项目基本情况!B8="出让",SUMPRODUCT(PRODUCT(1+N12:N13)),SUMPRODUCT(PRODUCT(1+N12:N12))),4)</f>
        <v>1.0095000000000001</v>
      </c>
      <c r="V12" s="3180">
        <f>ROUND(IF([2]项目基本情况!B8="出让",SUMPRODUCT(PRODUCT(1+O12:O13)),SUMPRODUCT(PRODUCT(1+O12:O12))),4)</f>
        <v>1.0101</v>
      </c>
      <c r="W12" s="3180">
        <f t="shared" si="9"/>
        <v>1.0041</v>
      </c>
      <c r="X12" s="3178"/>
      <c r="Y12" s="3181">
        <f>IF(D12=0,0,ROUND(AVERAGE(D12:D13)/100,4))</f>
        <v>9.4999999999999998E-3</v>
      </c>
      <c r="Z12" s="3181">
        <f>IF(E12=0,0,ROUND(AVERAGE(E12:E13)/100,4))</f>
        <v>4.4000000000000003E-3</v>
      </c>
      <c r="AA12" s="3181">
        <f>IF(F12=0,0,ROUND(AVERAGE(F12:F13)/100,4))</f>
        <v>8.0000000000000004E-4</v>
      </c>
      <c r="AB12" s="3181">
        <f>IF(G12=0,0,ROUND(AVERAGE(G12:G13)/100,4))</f>
        <v>1.03E-2</v>
      </c>
      <c r="AC12" s="3181">
        <f>IF(H12=0,0,ROUND(AVERAGE(H12:H13)/100,4))</f>
        <v>6.8999999999999999E-3</v>
      </c>
      <c r="AD12" s="3181">
        <f t="shared" si="7"/>
        <v>8.0000000000000004E-4</v>
      </c>
    </row>
    <row r="13" spans="1:30" s="3205" customFormat="1" ht="13.8" thickBot="1">
      <c r="A13" s="3195" t="s">
        <v>2829</v>
      </c>
      <c r="B13" s="3196">
        <v>2021</v>
      </c>
      <c r="C13" s="3197">
        <v>1</v>
      </c>
      <c r="D13" s="3198">
        <v>0.97</v>
      </c>
      <c r="E13" s="3198">
        <v>0.16</v>
      </c>
      <c r="F13" s="3198">
        <v>-0.25</v>
      </c>
      <c r="G13" s="3198">
        <v>1.1100000000000001</v>
      </c>
      <c r="H13" s="3199">
        <v>0.36</v>
      </c>
      <c r="I13" s="3200">
        <f t="shared" si="4"/>
        <v>-0.25</v>
      </c>
      <c r="J13" s="3201"/>
      <c r="K13" s="3202">
        <f t="shared" si="5"/>
        <v>9.7000000000000003E-3</v>
      </c>
      <c r="L13" s="3203">
        <f t="shared" si="5"/>
        <v>1.6000000000000001E-3</v>
      </c>
      <c r="M13" s="3203">
        <f>F13/100</f>
        <v>-2.5000000000000001E-3</v>
      </c>
      <c r="N13" s="3203">
        <f t="shared" si="5"/>
        <v>1.11E-2</v>
      </c>
      <c r="O13" s="3203">
        <f t="shared" si="5"/>
        <v>3.5999999999999999E-3</v>
      </c>
      <c r="P13" s="3203">
        <f t="shared" si="8"/>
        <v>-2.5000000000000001E-3</v>
      </c>
      <c r="Q13" s="3201"/>
      <c r="R13" s="3204">
        <v>1</v>
      </c>
      <c r="S13" s="3204">
        <v>1</v>
      </c>
      <c r="T13" s="3204">
        <v>1</v>
      </c>
      <c r="U13" s="3204">
        <v>1</v>
      </c>
      <c r="V13" s="3204">
        <v>1</v>
      </c>
      <c r="W13" s="3204">
        <f t="shared" si="9"/>
        <v>1</v>
      </c>
      <c r="X13" s="3201"/>
      <c r="Y13" s="3203">
        <f>IF(D13=0,0,ROUND(AVERAGE(D13:D13)/100,4))</f>
        <v>9.7000000000000003E-3</v>
      </c>
      <c r="Z13" s="3203">
        <f>IF(E13=0,0,ROUND(AVERAGE(E13:E13)/100,4))</f>
        <v>1.6000000000000001E-3</v>
      </c>
      <c r="AA13" s="3203">
        <f>IF(F13=0,0,ROUND(AVERAGE(F13:F13)/100,4))</f>
        <v>-2.5000000000000001E-3</v>
      </c>
      <c r="AB13" s="3203">
        <f>IF(G13=0,0,ROUND(AVERAGE(G13:G13)/100,4))</f>
        <v>1.11E-2</v>
      </c>
      <c r="AC13" s="3203">
        <f>IF(H13=0,0,ROUND(AVERAGE(H13:H13)/100,4))</f>
        <v>3.5999999999999999E-3</v>
      </c>
      <c r="AD13" s="3203">
        <f>AA13</f>
        <v>-2.5000000000000001E-3</v>
      </c>
    </row>
    <row r="14" spans="1:30" s="3006" customFormat="1" ht="15" thickTop="1"/>
    <row r="15" spans="1:30" s="3006" customFormat="1"/>
    <row r="16" spans="1:30" s="3006" customFormat="1">
      <c r="I16" s="3206" t="s">
        <v>2830</v>
      </c>
    </row>
    <row r="17" spans="1:30" s="3006" customFormat="1"/>
    <row r="18" spans="1:30" s="3207" customFormat="1" ht="13.2">
      <c r="B18" s="3208" t="s">
        <v>2831</v>
      </c>
      <c r="C18" s="3209"/>
      <c r="D18" s="3209"/>
      <c r="E18" s="3209"/>
      <c r="F18" s="3209"/>
      <c r="G18" s="3209"/>
      <c r="H18" s="3209"/>
      <c r="I18" s="3209"/>
      <c r="J18" s="3162"/>
      <c r="K18" s="3209" t="s">
        <v>2832</v>
      </c>
      <c r="L18" s="3209"/>
      <c r="M18" s="3209"/>
      <c r="N18" s="3209"/>
      <c r="O18" s="3209"/>
      <c r="P18" s="3209"/>
      <c r="Q18" s="3162"/>
      <c r="R18" s="3786" t="s">
        <v>2833</v>
      </c>
      <c r="S18" s="3787"/>
      <c r="T18" s="3787"/>
      <c r="U18" s="3787"/>
      <c r="V18" s="3787"/>
      <c r="W18" s="3787"/>
      <c r="X18" s="3162"/>
      <c r="Y18" s="3786" t="s">
        <v>2834</v>
      </c>
      <c r="Z18" s="3787"/>
      <c r="AA18" s="3787"/>
      <c r="AB18" s="3787"/>
      <c r="AC18" s="3787"/>
      <c r="AD18" s="3787"/>
    </row>
    <row r="19" spans="1:30" s="3140" customFormat="1" ht="15" thickBot="1">
      <c r="B19" s="3141"/>
      <c r="C19" s="3142"/>
      <c r="D19" s="3143" t="s">
        <v>2835</v>
      </c>
      <c r="E19" s="3144" t="s">
        <v>2836</v>
      </c>
      <c r="F19" s="3144" t="s">
        <v>2837</v>
      </c>
      <c r="G19" s="3144" t="s">
        <v>2838</v>
      </c>
      <c r="H19" s="3144"/>
      <c r="I19" s="3144" t="s">
        <v>2839</v>
      </c>
      <c r="J19" s="3145"/>
      <c r="K19" s="3143" t="s">
        <v>2835</v>
      </c>
      <c r="L19" s="3144" t="s">
        <v>2836</v>
      </c>
      <c r="M19" s="3144" t="s">
        <v>2837</v>
      </c>
      <c r="N19" s="3144" t="s">
        <v>2838</v>
      </c>
      <c r="O19" s="3144"/>
      <c r="P19" s="3144" t="s">
        <v>2839</v>
      </c>
      <c r="Q19" s="3145"/>
      <c r="R19" s="3143" t="s">
        <v>2835</v>
      </c>
      <c r="S19" s="3144" t="s">
        <v>2836</v>
      </c>
      <c r="T19" s="3144" t="s">
        <v>2837</v>
      </c>
      <c r="U19" s="3144" t="s">
        <v>2838</v>
      </c>
      <c r="V19" s="3144"/>
      <c r="W19" s="3144" t="s">
        <v>2839</v>
      </c>
      <c r="X19" s="3145"/>
      <c r="Y19" s="3143" t="s">
        <v>2835</v>
      </c>
      <c r="Z19" s="3144" t="s">
        <v>2836</v>
      </c>
      <c r="AA19" s="3144" t="s">
        <v>2837</v>
      </c>
      <c r="AB19" s="3144" t="s">
        <v>2838</v>
      </c>
      <c r="AC19" s="3144"/>
      <c r="AD19" s="3144" t="s">
        <v>2839</v>
      </c>
    </row>
    <row r="20" spans="1:30" s="3158" customFormat="1" ht="13.2">
      <c r="A20" s="3146" t="s">
        <v>2840</v>
      </c>
      <c r="B20" s="3147"/>
      <c r="C20" s="3148"/>
      <c r="D20" s="3148"/>
      <c r="E20" s="3148">
        <f t="shared" ref="E20:G20" si="15">ROUND(AVERAGEIF(E21:E30,"&lt;&gt;0"),2)</f>
        <v>0.39</v>
      </c>
      <c r="F20" s="3148">
        <f t="shared" si="15"/>
        <v>0.27</v>
      </c>
      <c r="G20" s="3148">
        <f t="shared" si="15"/>
        <v>0.79</v>
      </c>
      <c r="H20" s="3148"/>
      <c r="I20" s="3148">
        <f>F20</f>
        <v>0.27</v>
      </c>
      <c r="J20" s="3149"/>
      <c r="K20" s="3150"/>
      <c r="L20" s="3151">
        <f t="shared" ref="L20:N20" si="16">ROUND(AVERAGEIF(L21:L30,"&lt;&gt;0"),4)</f>
        <v>3.8999999999999998E-3</v>
      </c>
      <c r="M20" s="3151">
        <f t="shared" si="16"/>
        <v>2.7000000000000001E-3</v>
      </c>
      <c r="N20" s="3151">
        <f t="shared" si="16"/>
        <v>7.9000000000000008E-3</v>
      </c>
      <c r="O20" s="3151"/>
      <c r="P20" s="3151">
        <f>M20</f>
        <v>2.7000000000000001E-3</v>
      </c>
      <c r="Q20" s="3149"/>
      <c r="R20" s="3152"/>
      <c r="S20" s="3153">
        <f>ROUND(SUMPRODUCT(PRODUCT(1+L21:L30)),4)</f>
        <v>1.0277000000000001</v>
      </c>
      <c r="T20" s="3153">
        <f t="shared" ref="T20:U20" si="17">ROUND(SUMPRODUCT(PRODUCT(1+M21:M30)),4)</f>
        <v>1.0192000000000001</v>
      </c>
      <c r="U20" s="3153">
        <f t="shared" si="17"/>
        <v>1.0569</v>
      </c>
      <c r="V20" s="3153"/>
      <c r="W20" s="3152">
        <f>T20</f>
        <v>1.0192000000000001</v>
      </c>
      <c r="X20" s="3149"/>
      <c r="Y20" s="3154"/>
      <c r="Z20" s="3155">
        <f t="shared" ref="Z20:AB20" si="18">ROUND(AVERAGEIF(Z21:Z30,"&lt;&gt;0"),4)</f>
        <v>4.4000000000000003E-3</v>
      </c>
      <c r="AA20" s="3156">
        <f t="shared" si="18"/>
        <v>3.7000000000000002E-3</v>
      </c>
      <c r="AB20" s="3154">
        <f t="shared" si="18"/>
        <v>9.1000000000000004E-3</v>
      </c>
      <c r="AC20" s="3157"/>
      <c r="AD20" s="3154">
        <f>AA20</f>
        <v>3.7000000000000002E-3</v>
      </c>
    </row>
    <row r="21" spans="1:30" s="3159" customFormat="1" ht="13.2">
      <c r="B21" s="3160"/>
      <c r="C21" s="3161"/>
      <c r="D21" s="3161"/>
      <c r="E21" s="3161"/>
      <c r="F21" s="3161"/>
      <c r="G21" s="3161"/>
      <c r="H21" s="3161"/>
      <c r="I21" s="3161"/>
      <c r="J21" s="3162"/>
      <c r="K21" s="3163"/>
      <c r="L21" s="3164"/>
      <c r="M21" s="3164"/>
      <c r="N21" s="3164"/>
      <c r="O21" s="3164"/>
      <c r="P21" s="3164"/>
      <c r="Q21" s="3162"/>
      <c r="R21" s="3165"/>
      <c r="S21" s="3166"/>
      <c r="T21" s="3167"/>
      <c r="U21" s="3165"/>
      <c r="V21" s="3168"/>
      <c r="W21" s="3165"/>
      <c r="X21" s="3162"/>
      <c r="Y21" s="3169"/>
      <c r="Z21" s="3170"/>
      <c r="AA21" s="3171"/>
      <c r="AB21" s="3169"/>
      <c r="AC21" s="3172"/>
      <c r="AD21" s="3169"/>
    </row>
    <row r="22" spans="1:30" s="3182" customFormat="1" ht="13.2">
      <c r="A22" s="3173" t="s">
        <v>2841</v>
      </c>
      <c r="B22" s="3174">
        <v>2023</v>
      </c>
      <c r="C22" s="3175">
        <v>1</v>
      </c>
      <c r="D22" s="3176"/>
      <c r="E22" s="3176">
        <v>0</v>
      </c>
      <c r="F22" s="3176">
        <v>0</v>
      </c>
      <c r="G22" s="3176">
        <v>0</v>
      </c>
      <c r="H22" s="3176"/>
      <c r="I22" s="3177">
        <f t="shared" ref="I22:I30" si="19">F22</f>
        <v>0</v>
      </c>
      <c r="J22" s="3178"/>
      <c r="K22" s="3179"/>
      <c r="L22" s="3169">
        <f t="shared" ref="L22:N30" si="20">E22/100</f>
        <v>0</v>
      </c>
      <c r="M22" s="3169">
        <f t="shared" si="20"/>
        <v>0</v>
      </c>
      <c r="N22" s="3169">
        <f t="shared" si="20"/>
        <v>0</v>
      </c>
      <c r="O22" s="3169"/>
      <c r="P22" s="3169">
        <f>M22</f>
        <v>0</v>
      </c>
      <c r="Q22" s="3178"/>
      <c r="R22" s="3180"/>
      <c r="S22" s="3180">
        <f>ROUND(IF([2]项目基本情况!$B$8="出让",SUMPRODUCT(PRODUCT(1+L22:L$30)),SUMPRODUCT(PRODUCT(1+L22:L$29))),4)</f>
        <v>1.0241</v>
      </c>
      <c r="T22" s="3180">
        <f>ROUND(IF([2]项目基本情况!$B$8="出让",SUMPRODUCT(PRODUCT(1+M22:M$30)),SUMPRODUCT(PRODUCT(1+M22:M$29))),4)</f>
        <v>1.0144</v>
      </c>
      <c r="U22" s="3180">
        <f>ROUND(IF([2]项目基本情况!$B$8="出让",SUMPRODUCT(PRODUCT(1+N22:N$30)),SUMPRODUCT(PRODUCT(1+N22:N$29))),4)</f>
        <v>1.0467</v>
      </c>
      <c r="V22" s="3180"/>
      <c r="W22" s="3180">
        <f>T22</f>
        <v>1.0144</v>
      </c>
      <c r="X22" s="3178"/>
      <c r="Y22" s="3181"/>
      <c r="Z22" s="3210">
        <f>IF(E22=0,0,ROUND(AVERAGE(E22:E30)/100,4))</f>
        <v>0</v>
      </c>
      <c r="AA22" s="3210">
        <f>IF(F22=0,0,ROUND(AVERAGE(F22:F30)/100,4))</f>
        <v>0</v>
      </c>
      <c r="AB22" s="3210">
        <f>IF(G22=0,0,ROUND(AVERAGE(G22:G30)/100,4))</f>
        <v>0</v>
      </c>
      <c r="AC22" s="3211"/>
      <c r="AD22" s="3181">
        <f>IF(I22=0,0,ROUND(AVERAGE(I22:I30)/100,4))</f>
        <v>0</v>
      </c>
    </row>
    <row r="23" spans="1:30" s="3183" customFormat="1" ht="13.2">
      <c r="A23" s="3173" t="s">
        <v>2842</v>
      </c>
      <c r="B23" s="3174">
        <v>2022</v>
      </c>
      <c r="C23" s="3175">
        <v>4</v>
      </c>
      <c r="D23" s="3176"/>
      <c r="E23" s="3176">
        <v>0</v>
      </c>
      <c r="F23" s="3176">
        <v>0</v>
      </c>
      <c r="G23" s="3176">
        <v>0</v>
      </c>
      <c r="H23" s="3176"/>
      <c r="I23" s="3177">
        <f t="shared" si="19"/>
        <v>0</v>
      </c>
      <c r="J23" s="3178"/>
      <c r="K23" s="3179"/>
      <c r="L23" s="3169">
        <f t="shared" si="20"/>
        <v>0</v>
      </c>
      <c r="M23" s="3169">
        <f t="shared" si="20"/>
        <v>0</v>
      </c>
      <c r="N23" s="3169">
        <f t="shared" si="20"/>
        <v>0</v>
      </c>
      <c r="O23" s="3169"/>
      <c r="P23" s="3169">
        <f t="shared" ref="P23:P30" si="21">M23</f>
        <v>0</v>
      </c>
      <c r="Q23" s="3178"/>
      <c r="R23" s="3180"/>
      <c r="S23" s="3180">
        <f>ROUND(IF([2]项目基本情况!$B$8="出让",SUMPRODUCT(PRODUCT(1+L23:L$30)),SUMPRODUCT(PRODUCT(1+L23:L$29))),4)</f>
        <v>1.0241</v>
      </c>
      <c r="T23" s="3180">
        <f>ROUND(IF([2]项目基本情况!$B$8="出让",SUMPRODUCT(PRODUCT(1+M23:M$30)),SUMPRODUCT(PRODUCT(1+M23:M$29))),4)</f>
        <v>1.0144</v>
      </c>
      <c r="U23" s="3180">
        <f>ROUND(IF([2]项目基本情况!$B$8="出让",SUMPRODUCT(PRODUCT(1+N23:N$30)),SUMPRODUCT(PRODUCT(1+N23:N$29))),4)</f>
        <v>1.0467</v>
      </c>
      <c r="V23" s="3180"/>
      <c r="W23" s="3180">
        <f t="shared" ref="W23:W30" si="22">T23</f>
        <v>1.0144</v>
      </c>
      <c r="X23" s="3178"/>
      <c r="Y23" s="3181"/>
      <c r="Z23" s="3210">
        <f t="shared" ref="Z23:AD30" si="23">IF(E23=0,0,ROUND(AVERAGE(E23:E31)/100,4))</f>
        <v>0</v>
      </c>
      <c r="AA23" s="3212">
        <f t="shared" si="23"/>
        <v>0</v>
      </c>
      <c r="AB23" s="3181">
        <f t="shared" si="23"/>
        <v>0</v>
      </c>
      <c r="AC23" s="3211"/>
      <c r="AD23" s="3181">
        <f t="shared" si="23"/>
        <v>0</v>
      </c>
    </row>
    <row r="24" spans="1:30" s="3193" customFormat="1" ht="13.2">
      <c r="A24" s="3184" t="s">
        <v>3365</v>
      </c>
      <c r="B24" s="3185">
        <v>2022</v>
      </c>
      <c r="C24" s="3186">
        <v>3</v>
      </c>
      <c r="D24" s="3187"/>
      <c r="E24" s="3187">
        <v>0.3</v>
      </c>
      <c r="F24" s="3187">
        <v>0.28999999999999998</v>
      </c>
      <c r="G24" s="3187">
        <v>0.83</v>
      </c>
      <c r="H24" s="3188"/>
      <c r="I24" s="3189">
        <f t="shared" si="19"/>
        <v>0.28999999999999998</v>
      </c>
      <c r="J24" s="3190"/>
      <c r="K24" s="3191"/>
      <c r="L24" s="3192">
        <f t="shared" si="20"/>
        <v>3.0000000000000001E-3</v>
      </c>
      <c r="M24" s="3192">
        <f t="shared" si="20"/>
        <v>2.8999999999999998E-3</v>
      </c>
      <c r="N24" s="3192">
        <f t="shared" si="20"/>
        <v>8.3000000000000001E-3</v>
      </c>
      <c r="O24" s="3192"/>
      <c r="P24" s="3192">
        <f t="shared" si="21"/>
        <v>2.8999999999999998E-3</v>
      </c>
      <c r="Q24" s="3190"/>
      <c r="R24" s="3190"/>
      <c r="S24" s="3190">
        <f>ROUND(IF([2]项目基本情况!$B$8="出让",SUMPRODUCT(PRODUCT(1+L24:L$30)),SUMPRODUCT(PRODUCT(1+L24:L$29))),4)</f>
        <v>1.0241</v>
      </c>
      <c r="T24" s="3190">
        <f>ROUND(IF([2]项目基本情况!$B$8="出让",SUMPRODUCT(PRODUCT(1+M24:M$30)),SUMPRODUCT(PRODUCT(1+M24:M$29))),4)</f>
        <v>1.0144</v>
      </c>
      <c r="U24" s="3190">
        <f>ROUND(IF([2]项目基本情况!$B$8="出让",SUMPRODUCT(PRODUCT(1+N24:N$30)),SUMPRODUCT(PRODUCT(1+N24:N$29))),4)</f>
        <v>1.0467</v>
      </c>
      <c r="V24" s="3190"/>
      <c r="W24" s="3190">
        <f t="shared" si="22"/>
        <v>1.0144</v>
      </c>
      <c r="X24" s="3190"/>
      <c r="Y24" s="3192"/>
      <c r="Z24" s="3213">
        <f t="shared" si="23"/>
        <v>3.8999999999999998E-3</v>
      </c>
      <c r="AA24" s="3214">
        <f t="shared" si="23"/>
        <v>2.7000000000000001E-3</v>
      </c>
      <c r="AB24" s="3192">
        <f t="shared" si="23"/>
        <v>7.9000000000000008E-3</v>
      </c>
      <c r="AC24" s="3215"/>
      <c r="AD24" s="3192">
        <f t="shared" si="23"/>
        <v>2.7000000000000001E-3</v>
      </c>
    </row>
    <row r="25" spans="1:30" s="3182" customFormat="1" ht="13.2">
      <c r="A25" s="3173" t="s">
        <v>3364</v>
      </c>
      <c r="B25" s="3174">
        <v>2022</v>
      </c>
      <c r="C25" s="3175">
        <v>2</v>
      </c>
      <c r="D25" s="3176"/>
      <c r="E25" s="3176">
        <v>-0.11</v>
      </c>
      <c r="F25" s="3176">
        <v>-0.13</v>
      </c>
      <c r="G25" s="3176">
        <v>0.53</v>
      </c>
      <c r="H25" s="3194"/>
      <c r="I25" s="3177">
        <f t="shared" si="19"/>
        <v>-0.13</v>
      </c>
      <c r="J25" s="3178"/>
      <c r="K25" s="3179"/>
      <c r="L25" s="3169">
        <f t="shared" si="20"/>
        <v>-1.1000000000000001E-3</v>
      </c>
      <c r="M25" s="3169">
        <f t="shared" si="20"/>
        <v>-1.2999999999999999E-3</v>
      </c>
      <c r="N25" s="3169">
        <f t="shared" si="20"/>
        <v>5.3E-3</v>
      </c>
      <c r="O25" s="3169"/>
      <c r="P25" s="3169">
        <f t="shared" si="21"/>
        <v>-1.2999999999999999E-3</v>
      </c>
      <c r="Q25" s="3178"/>
      <c r="R25" s="3180"/>
      <c r="S25" s="3180">
        <f>ROUND(IF([2]项目基本情况!$B$8="出让",SUMPRODUCT(PRODUCT(1+L25:L$30)),SUMPRODUCT(PRODUCT(1+L25:L$29))),4)</f>
        <v>1.0210999999999999</v>
      </c>
      <c r="T25" s="3180">
        <f>ROUND(IF([2]项目基本情况!$B$8="出让",SUMPRODUCT(PRODUCT(1+M25:M$30)),SUMPRODUCT(PRODUCT(1+M25:M$29))),4)</f>
        <v>1.0114000000000001</v>
      </c>
      <c r="U25" s="3180">
        <f>ROUND(IF([2]项目基本情况!$B$8="出让",SUMPRODUCT(PRODUCT(1+N25:N$30)),SUMPRODUCT(PRODUCT(1+N25:N$29))),4)</f>
        <v>1.0381</v>
      </c>
      <c r="V25" s="3180"/>
      <c r="W25" s="3180">
        <f t="shared" si="22"/>
        <v>1.0114000000000001</v>
      </c>
      <c r="X25" s="3178"/>
      <c r="Y25" s="3181"/>
      <c r="Z25" s="3210">
        <f t="shared" si="23"/>
        <v>4.1000000000000003E-3</v>
      </c>
      <c r="AA25" s="3212">
        <f t="shared" si="23"/>
        <v>2.7000000000000001E-3</v>
      </c>
      <c r="AB25" s="3181">
        <f t="shared" si="23"/>
        <v>7.9000000000000008E-3</v>
      </c>
      <c r="AC25" s="3211"/>
      <c r="AD25" s="3181">
        <f t="shared" si="23"/>
        <v>2.7000000000000001E-3</v>
      </c>
    </row>
    <row r="26" spans="1:30" s="3182" customFormat="1" ht="13.2">
      <c r="A26" s="3173" t="s">
        <v>2843</v>
      </c>
      <c r="B26" s="3174">
        <v>2022</v>
      </c>
      <c r="C26" s="3175">
        <v>1</v>
      </c>
      <c r="D26" s="3176"/>
      <c r="E26" s="3176">
        <v>0.6</v>
      </c>
      <c r="F26" s="3176">
        <v>0.45</v>
      </c>
      <c r="G26" s="3176">
        <v>0.53</v>
      </c>
      <c r="H26" s="3194"/>
      <c r="I26" s="3177">
        <f t="shared" si="19"/>
        <v>0.45</v>
      </c>
      <c r="J26" s="3178"/>
      <c r="K26" s="3179"/>
      <c r="L26" s="3169">
        <f t="shared" si="20"/>
        <v>6.0000000000000001E-3</v>
      </c>
      <c r="M26" s="3169">
        <f t="shared" si="20"/>
        <v>4.5000000000000005E-3</v>
      </c>
      <c r="N26" s="3169">
        <f t="shared" si="20"/>
        <v>5.3E-3</v>
      </c>
      <c r="O26" s="3169"/>
      <c r="P26" s="3169">
        <f t="shared" si="21"/>
        <v>4.5000000000000005E-3</v>
      </c>
      <c r="Q26" s="3178"/>
      <c r="R26" s="3180"/>
      <c r="S26" s="3180">
        <f>ROUND(IF([2]项目基本情况!$B$8="出让",SUMPRODUCT(PRODUCT(1+L26:L$30)),SUMPRODUCT(PRODUCT(1+L26:L$29))),4)</f>
        <v>1.0222</v>
      </c>
      <c r="T26" s="3180">
        <f>ROUND(IF([2]项目基本情况!$B$8="出让",SUMPRODUCT(PRODUCT(1+M26:M$30)),SUMPRODUCT(PRODUCT(1+M26:M$29))),4)</f>
        <v>1.0127999999999999</v>
      </c>
      <c r="U26" s="3180">
        <f>ROUND(IF([2]项目基本情况!$B$8="出让",SUMPRODUCT(PRODUCT(1+N26:N$30)),SUMPRODUCT(PRODUCT(1+N26:N$29))),4)</f>
        <v>1.0326</v>
      </c>
      <c r="V26" s="3180"/>
      <c r="W26" s="3180">
        <f t="shared" si="22"/>
        <v>1.0127999999999999</v>
      </c>
      <c r="X26" s="3178"/>
      <c r="Y26" s="3181"/>
      <c r="Z26" s="3210">
        <f t="shared" si="23"/>
        <v>5.1000000000000004E-3</v>
      </c>
      <c r="AA26" s="3212">
        <f t="shared" si="23"/>
        <v>3.5000000000000001E-3</v>
      </c>
      <c r="AB26" s="3181">
        <f t="shared" si="23"/>
        <v>8.3999999999999995E-3</v>
      </c>
      <c r="AC26" s="3211"/>
      <c r="AD26" s="3181">
        <f t="shared" si="23"/>
        <v>3.5000000000000001E-3</v>
      </c>
    </row>
    <row r="27" spans="1:30" s="3182" customFormat="1" ht="13.2">
      <c r="A27" s="3173" t="s">
        <v>2844</v>
      </c>
      <c r="B27" s="3174">
        <v>2021</v>
      </c>
      <c r="C27" s="3175">
        <v>4</v>
      </c>
      <c r="D27" s="3176"/>
      <c r="E27" s="3176">
        <v>0.57999999999999996</v>
      </c>
      <c r="F27" s="3176">
        <v>0.08</v>
      </c>
      <c r="G27" s="3176">
        <v>0.68</v>
      </c>
      <c r="H27" s="3194"/>
      <c r="I27" s="3177">
        <f t="shared" si="19"/>
        <v>0.08</v>
      </c>
      <c r="J27" s="3178"/>
      <c r="K27" s="3179"/>
      <c r="L27" s="3169">
        <f t="shared" si="20"/>
        <v>5.7999999999999996E-3</v>
      </c>
      <c r="M27" s="3169">
        <f t="shared" si="20"/>
        <v>8.0000000000000004E-4</v>
      </c>
      <c r="N27" s="3169">
        <f t="shared" si="20"/>
        <v>6.8000000000000005E-3</v>
      </c>
      <c r="O27" s="3169"/>
      <c r="P27" s="3169">
        <f t="shared" si="21"/>
        <v>8.0000000000000004E-4</v>
      </c>
      <c r="Q27" s="3178"/>
      <c r="R27" s="3180"/>
      <c r="S27" s="3180">
        <f>ROUND(IF([2]项目基本情况!$B$8="出让",SUMPRODUCT(PRODUCT(1+L27:L$30)),SUMPRODUCT(PRODUCT(1+L27:L$29))),4)</f>
        <v>1.0161</v>
      </c>
      <c r="T27" s="3180">
        <f>ROUND(IF([2]项目基本情况!$B$8="出让",SUMPRODUCT(PRODUCT(1+M27:M$30)),SUMPRODUCT(PRODUCT(1+M27:M$29))),4)</f>
        <v>1.0082</v>
      </c>
      <c r="U27" s="3180">
        <f>ROUND(IF([2]项目基本情况!$B$8="出让",SUMPRODUCT(PRODUCT(1+N27:N$30)),SUMPRODUCT(PRODUCT(1+N27:N$29))),4)</f>
        <v>1.0270999999999999</v>
      </c>
      <c r="V27" s="3180"/>
      <c r="W27" s="3180">
        <f t="shared" si="22"/>
        <v>1.0082</v>
      </c>
      <c r="X27" s="3178"/>
      <c r="Y27" s="3181"/>
      <c r="Z27" s="3210">
        <f t="shared" si="23"/>
        <v>4.8999999999999998E-3</v>
      </c>
      <c r="AA27" s="3212">
        <f t="shared" si="23"/>
        <v>3.3E-3</v>
      </c>
      <c r="AB27" s="3181">
        <f t="shared" si="23"/>
        <v>9.1999999999999998E-3</v>
      </c>
      <c r="AC27" s="3211"/>
      <c r="AD27" s="3181">
        <f t="shared" si="23"/>
        <v>3.3E-3</v>
      </c>
    </row>
    <row r="28" spans="1:30" s="3182" customFormat="1" ht="13.2">
      <c r="A28" s="3173" t="s">
        <v>2845</v>
      </c>
      <c r="B28" s="3174">
        <v>2021</v>
      </c>
      <c r="C28" s="3175">
        <v>3</v>
      </c>
      <c r="D28" s="3176"/>
      <c r="E28" s="3176">
        <v>0.47</v>
      </c>
      <c r="F28" s="3176">
        <v>0.28000000000000003</v>
      </c>
      <c r="G28" s="3176">
        <v>0.91</v>
      </c>
      <c r="H28" s="3194"/>
      <c r="I28" s="3177">
        <f t="shared" si="19"/>
        <v>0.28000000000000003</v>
      </c>
      <c r="J28" s="3178"/>
      <c r="K28" s="3179"/>
      <c r="L28" s="3169">
        <f t="shared" si="20"/>
        <v>4.6999999999999993E-3</v>
      </c>
      <c r="M28" s="3169">
        <f t="shared" si="20"/>
        <v>2.8000000000000004E-3</v>
      </c>
      <c r="N28" s="3169">
        <f t="shared" si="20"/>
        <v>9.1000000000000004E-3</v>
      </c>
      <c r="O28" s="3169"/>
      <c r="P28" s="3169">
        <f t="shared" si="21"/>
        <v>2.8000000000000004E-3</v>
      </c>
      <c r="Q28" s="3178"/>
      <c r="R28" s="3180"/>
      <c r="S28" s="3180">
        <f>ROUND(IF([2]项目基本情况!$B$8="出让",SUMPRODUCT(PRODUCT(1+L28:L$30)),SUMPRODUCT(PRODUCT(1+L28:L$29))),4)</f>
        <v>1.0102</v>
      </c>
      <c r="T28" s="3180">
        <f>ROUND(IF([2]项目基本情况!$B$8="出让",SUMPRODUCT(PRODUCT(1+M28:M$30)),SUMPRODUCT(PRODUCT(1+M28:M$29))),4)</f>
        <v>1.0074000000000001</v>
      </c>
      <c r="U28" s="3180">
        <f>ROUND(IF([2]项目基本情况!$B$8="出让",SUMPRODUCT(PRODUCT(1+N28:N$30)),SUMPRODUCT(PRODUCT(1+N28:N$29))),4)</f>
        <v>1.0202</v>
      </c>
      <c r="V28" s="3180"/>
      <c r="W28" s="3180">
        <f t="shared" si="22"/>
        <v>1.0074000000000001</v>
      </c>
      <c r="X28" s="3178"/>
      <c r="Y28" s="3181"/>
      <c r="Z28" s="3210">
        <f t="shared" si="23"/>
        <v>4.5999999999999999E-3</v>
      </c>
      <c r="AA28" s="3212">
        <f t="shared" si="23"/>
        <v>4.1000000000000003E-3</v>
      </c>
      <c r="AB28" s="3181">
        <f t="shared" si="23"/>
        <v>0.01</v>
      </c>
      <c r="AC28" s="3211"/>
      <c r="AD28" s="3181">
        <f t="shared" si="23"/>
        <v>4.1000000000000003E-3</v>
      </c>
    </row>
    <row r="29" spans="1:30" s="3182" customFormat="1" ht="13.2">
      <c r="A29" s="3173" t="s">
        <v>2846</v>
      </c>
      <c r="B29" s="3174">
        <v>2021</v>
      </c>
      <c r="C29" s="3175">
        <v>2</v>
      </c>
      <c r="D29" s="3176"/>
      <c r="E29" s="3176">
        <v>0.55000000000000004</v>
      </c>
      <c r="F29" s="3176">
        <v>0.46</v>
      </c>
      <c r="G29" s="3176">
        <v>1.1000000000000001</v>
      </c>
      <c r="H29" s="3194"/>
      <c r="I29" s="3177">
        <f t="shared" si="19"/>
        <v>0.46</v>
      </c>
      <c r="J29" s="3178"/>
      <c r="K29" s="3179"/>
      <c r="L29" s="3169">
        <f t="shared" si="20"/>
        <v>5.5000000000000005E-3</v>
      </c>
      <c r="M29" s="3169">
        <f t="shared" si="20"/>
        <v>4.5999999999999999E-3</v>
      </c>
      <c r="N29" s="3169">
        <f t="shared" si="20"/>
        <v>1.1000000000000001E-2</v>
      </c>
      <c r="O29" s="3169"/>
      <c r="P29" s="3169">
        <f t="shared" si="21"/>
        <v>4.5999999999999999E-3</v>
      </c>
      <c r="Q29" s="3178"/>
      <c r="R29" s="3180"/>
      <c r="S29" s="3180">
        <f>ROUND(IF([2]项目基本情况!$B$8="出让",SUMPRODUCT(PRODUCT(1+L29:L$30)),SUMPRODUCT(PRODUCT(1+L29:L$29))),4)</f>
        <v>1.0055000000000001</v>
      </c>
      <c r="T29" s="3180">
        <f>ROUND(IF([2]项目基本情况!$B$8="出让",SUMPRODUCT(PRODUCT(1+M29:M$30)),SUMPRODUCT(PRODUCT(1+M29:M$29))),4)</f>
        <v>1.0045999999999999</v>
      </c>
      <c r="U29" s="3180">
        <f>ROUND(IF([2]项目基本情况!$B$8="出让",SUMPRODUCT(PRODUCT(1+N29:N$30)),SUMPRODUCT(PRODUCT(1+N29:N$29))),4)</f>
        <v>1.0109999999999999</v>
      </c>
      <c r="V29" s="3180"/>
      <c r="W29" s="3180">
        <f t="shared" si="22"/>
        <v>1.0045999999999999</v>
      </c>
      <c r="X29" s="3178"/>
      <c r="Y29" s="3181"/>
      <c r="Z29" s="3210">
        <f t="shared" si="23"/>
        <v>4.4999999999999997E-3</v>
      </c>
      <c r="AA29" s="3212">
        <f t="shared" si="23"/>
        <v>4.7000000000000002E-3</v>
      </c>
      <c r="AB29" s="3181">
        <f t="shared" si="23"/>
        <v>1.04E-2</v>
      </c>
      <c r="AC29" s="3211"/>
      <c r="AD29" s="3181">
        <f t="shared" si="23"/>
        <v>4.7000000000000002E-3</v>
      </c>
    </row>
    <row r="30" spans="1:30" s="3205" customFormat="1" ht="13.8" thickBot="1">
      <c r="A30" s="3195" t="s">
        <v>2829</v>
      </c>
      <c r="B30" s="3196">
        <v>2021</v>
      </c>
      <c r="C30" s="3197">
        <v>1</v>
      </c>
      <c r="D30" s="3198"/>
      <c r="E30" s="3198">
        <v>0.35</v>
      </c>
      <c r="F30" s="3198">
        <v>0.48</v>
      </c>
      <c r="G30" s="3198">
        <v>0.98</v>
      </c>
      <c r="H30" s="3199"/>
      <c r="I30" s="3200">
        <f t="shared" si="19"/>
        <v>0.48</v>
      </c>
      <c r="J30" s="3201"/>
      <c r="K30" s="3202"/>
      <c r="L30" s="3203">
        <f t="shared" si="20"/>
        <v>3.4999999999999996E-3</v>
      </c>
      <c r="M30" s="3203">
        <f>F30/100</f>
        <v>4.7999999999999996E-3</v>
      </c>
      <c r="N30" s="3203">
        <f t="shared" si="20"/>
        <v>9.7999999999999997E-3</v>
      </c>
      <c r="O30" s="3203"/>
      <c r="P30" s="3203">
        <f t="shared" si="21"/>
        <v>4.7999999999999996E-3</v>
      </c>
      <c r="Q30" s="3201"/>
      <c r="R30" s="3204"/>
      <c r="S30" s="3204">
        <v>1</v>
      </c>
      <c r="T30" s="3204">
        <v>1</v>
      </c>
      <c r="U30" s="3204">
        <v>1</v>
      </c>
      <c r="V30" s="3204"/>
      <c r="W30" s="3204">
        <f t="shared" si="22"/>
        <v>1</v>
      </c>
      <c r="X30" s="3201"/>
      <c r="Y30" s="3203"/>
      <c r="Z30" s="3216">
        <f t="shared" si="23"/>
        <v>3.5000000000000001E-3</v>
      </c>
      <c r="AA30" s="3217">
        <f t="shared" si="23"/>
        <v>4.7999999999999996E-3</v>
      </c>
      <c r="AB30" s="3203">
        <f t="shared" si="23"/>
        <v>9.7999999999999997E-3</v>
      </c>
      <c r="AC30" s="3218"/>
      <c r="AD30" s="3203">
        <f t="shared" si="23"/>
        <v>4.7999999999999996E-3</v>
      </c>
    </row>
    <row r="31" spans="1:30" ht="1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89"/>
    <col min="2" max="6" width="9" style="2189" customWidth="1"/>
    <col min="7" max="7" width="9" style="2227"/>
    <col min="8" max="8" width="9" style="2189"/>
    <col min="9" max="12" width="9" style="2189" customWidth="1"/>
    <col min="13" max="13" width="2.21875" style="2189" customWidth="1"/>
    <col min="14" max="14" width="9" style="2227" customWidth="1"/>
    <col min="15" max="17" width="9" style="2189" customWidth="1"/>
    <col min="18" max="18" width="2.33203125" style="2189" customWidth="1"/>
    <col min="19" max="19" width="7.109375" style="2227" customWidth="1"/>
    <col min="20" max="22" width="7.109375" style="2189" customWidth="1"/>
    <col min="23" max="23" width="24.21875" style="2189" customWidth="1"/>
    <col min="24" max="25" width="9" style="2189"/>
    <col min="26" max="27" width="11.6640625" style="2189" customWidth="1"/>
    <col min="28" max="28" width="9" style="2189"/>
    <col min="29" max="29" width="2" style="2189" customWidth="1"/>
    <col min="30" max="16384" width="9" style="2189"/>
  </cols>
  <sheetData>
    <row r="1" spans="1:34" s="2168" customFormat="1">
      <c r="B1" s="3793" t="s">
        <v>452</v>
      </c>
      <c r="C1" s="3793"/>
      <c r="D1" s="3793"/>
      <c r="E1" s="3793"/>
      <c r="F1" s="3793"/>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69" customFormat="1" ht="1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4">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4">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3373</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6">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3370</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6">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3371</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6">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3372</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6">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2439</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2316</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2315</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2314</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2312</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2311</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8"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8"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89">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89"/>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89"/>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798"/>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794">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89"/>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89"/>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798"/>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794">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89"/>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89"/>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8"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90"/>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8" thickBot="1">
      <c r="A33" s="2202" t="s">
        <v>124</v>
      </c>
      <c r="B33" s="2217">
        <v>333</v>
      </c>
      <c r="C33" s="2217">
        <v>277</v>
      </c>
      <c r="D33" s="2217">
        <f t="shared" si="246"/>
        <v>277</v>
      </c>
      <c r="E33" s="2217">
        <v>459</v>
      </c>
      <c r="F33" s="2218">
        <v>249</v>
      </c>
      <c r="G33" s="3788">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89"/>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89"/>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90"/>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8" thickBot="1">
      <c r="A37" s="2202" t="s">
        <v>120</v>
      </c>
      <c r="B37" s="2231">
        <v>318</v>
      </c>
      <c r="C37" s="2231">
        <v>268</v>
      </c>
      <c r="D37" s="2231">
        <f t="shared" si="246"/>
        <v>268</v>
      </c>
      <c r="E37" s="2231">
        <v>437</v>
      </c>
      <c r="F37" s="2232">
        <v>237</v>
      </c>
      <c r="G37" s="3788">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89"/>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8"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89"/>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8"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90"/>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8" thickBot="1">
      <c r="A41" s="2202" t="s">
        <v>465</v>
      </c>
      <c r="B41" s="2217">
        <v>299</v>
      </c>
      <c r="C41" s="2217">
        <v>252</v>
      </c>
      <c r="D41" s="2217">
        <f t="shared" si="246"/>
        <v>252</v>
      </c>
      <c r="E41" s="2217">
        <v>409</v>
      </c>
      <c r="F41" s="2218">
        <v>227</v>
      </c>
      <c r="G41" s="3795">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796"/>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796"/>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797"/>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8" thickBot="1">
      <c r="A45" s="2202" t="s">
        <v>469</v>
      </c>
      <c r="B45" s="2252">
        <v>278</v>
      </c>
      <c r="C45" s="2252">
        <v>234</v>
      </c>
      <c r="D45" s="2252">
        <f t="shared" si="246"/>
        <v>234</v>
      </c>
      <c r="E45" s="2252">
        <v>379</v>
      </c>
      <c r="F45" s="2253">
        <v>220</v>
      </c>
      <c r="G45" s="3788">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89"/>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89"/>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8" thickBot="1">
      <c r="A48" s="2202" t="s">
        <v>472</v>
      </c>
      <c r="B48" s="2203">
        <f>B47/(1+N47)</f>
        <v>275.19025476197027</v>
      </c>
      <c r="C48" s="2254">
        <v>232</v>
      </c>
      <c r="D48" s="2254">
        <f t="shared" si="246"/>
        <v>232</v>
      </c>
      <c r="E48" s="2203">
        <f t="shared" si="257"/>
        <v>375.65990977608692</v>
      </c>
      <c r="F48" s="2203">
        <f t="shared" si="257"/>
        <v>214.12518283971252</v>
      </c>
      <c r="G48" s="3790"/>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8" thickBot="1">
      <c r="A49" s="2202" t="s">
        <v>473</v>
      </c>
      <c r="B49" s="2217">
        <v>275</v>
      </c>
      <c r="C49" s="2217">
        <v>232</v>
      </c>
      <c r="D49" s="2217">
        <f t="shared" si="246"/>
        <v>232</v>
      </c>
      <c r="E49" s="2217">
        <v>376</v>
      </c>
      <c r="F49" s="2218">
        <v>213</v>
      </c>
      <c r="G49" s="3788">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89">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89">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8"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90">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8" thickBot="1">
      <c r="A53" s="2202" t="s">
        <v>477</v>
      </c>
      <c r="B53" s="2217">
        <v>269</v>
      </c>
      <c r="C53" s="2217">
        <v>221</v>
      </c>
      <c r="D53" s="2217">
        <f t="shared" si="246"/>
        <v>221</v>
      </c>
      <c r="E53" s="2217">
        <v>373</v>
      </c>
      <c r="F53" s="2218">
        <v>196</v>
      </c>
      <c r="G53" s="3788">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89">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89">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8"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90">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8" thickBot="1">
      <c r="A57" s="2202" t="s">
        <v>481</v>
      </c>
      <c r="B57" s="2217">
        <v>220</v>
      </c>
      <c r="C57" s="2217">
        <v>187</v>
      </c>
      <c r="D57" s="2217">
        <f t="shared" si="246"/>
        <v>187</v>
      </c>
      <c r="E57" s="2217">
        <v>301</v>
      </c>
      <c r="F57" s="2218">
        <v>168</v>
      </c>
      <c r="G57" s="3788">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89">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89">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90">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8" thickBot="1">
      <c r="A61" s="2202" t="s">
        <v>485</v>
      </c>
      <c r="B61" s="2252">
        <v>214</v>
      </c>
      <c r="C61" s="2252">
        <v>188</v>
      </c>
      <c r="D61" s="2252">
        <f t="shared" si="246"/>
        <v>188</v>
      </c>
      <c r="E61" s="2252">
        <v>289</v>
      </c>
      <c r="F61" s="2253">
        <v>166</v>
      </c>
      <c r="G61" s="3788">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89">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89">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8"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90">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8" thickBot="1">
      <c r="A65" s="2202" t="s">
        <v>489</v>
      </c>
      <c r="B65" s="2217">
        <v>188</v>
      </c>
      <c r="C65" s="2217">
        <v>165</v>
      </c>
      <c r="D65" s="2217">
        <f t="shared" si="246"/>
        <v>165</v>
      </c>
      <c r="E65" s="2217">
        <v>254</v>
      </c>
      <c r="F65" s="2218">
        <v>148</v>
      </c>
      <c r="G65" s="3788">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89">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89">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90">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8" thickBot="1">
      <c r="A69" s="2202" t="s">
        <v>493</v>
      </c>
      <c r="B69" s="2231">
        <v>159</v>
      </c>
      <c r="C69" s="2231">
        <v>141</v>
      </c>
      <c r="D69" s="2231">
        <f t="shared" si="246"/>
        <v>141</v>
      </c>
      <c r="E69" s="2231">
        <v>195</v>
      </c>
      <c r="F69" s="2232">
        <v>122</v>
      </c>
      <c r="G69" s="3788">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89">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89">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90">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8" thickBot="1">
      <c r="A73" s="2202" t="s">
        <v>497</v>
      </c>
      <c r="B73" s="2231">
        <v>138</v>
      </c>
      <c r="C73" s="2231">
        <v>131</v>
      </c>
      <c r="D73" s="2231">
        <f t="shared" si="246"/>
        <v>131</v>
      </c>
      <c r="E73" s="2231">
        <v>155</v>
      </c>
      <c r="F73" s="2232">
        <v>114</v>
      </c>
      <c r="G73" s="3788">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89">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89">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90">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8" thickBot="1">
      <c r="A77" s="2202" t="s">
        <v>501</v>
      </c>
      <c r="B77" s="2252">
        <v>121</v>
      </c>
      <c r="C77" s="2252">
        <v>122</v>
      </c>
      <c r="D77" s="2252">
        <f t="shared" si="246"/>
        <v>122</v>
      </c>
      <c r="E77" s="2252">
        <v>124</v>
      </c>
      <c r="F77" s="2253">
        <v>107</v>
      </c>
      <c r="G77" s="3788">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89">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89">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8"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90">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8" thickBot="1">
      <c r="A81" s="2202" t="s">
        <v>505</v>
      </c>
      <c r="B81" s="2272">
        <v>111</v>
      </c>
      <c r="C81" s="2272">
        <v>114</v>
      </c>
      <c r="D81" s="2272">
        <f t="shared" si="246"/>
        <v>114</v>
      </c>
      <c r="E81" s="2272">
        <v>108</v>
      </c>
      <c r="F81" s="2273">
        <v>104</v>
      </c>
      <c r="G81" s="3788">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89">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89">
        <v>2003</v>
      </c>
      <c r="H83" s="2215">
        <v>2</v>
      </c>
      <c r="I83" s="2274"/>
      <c r="J83" s="2274"/>
      <c r="K83" s="2274"/>
      <c r="L83" s="2274"/>
      <c r="X83" s="2266"/>
      <c r="Y83" s="2266"/>
      <c r="Z83" s="2266"/>
    </row>
    <row r="84" spans="1:26" ht="13.8" thickBot="1">
      <c r="A84" s="2202" t="s">
        <v>508</v>
      </c>
      <c r="B84" s="2276">
        <f t="shared" si="282"/>
        <v>107.25</v>
      </c>
      <c r="C84" s="2276">
        <f t="shared" si="282"/>
        <v>108.75</v>
      </c>
      <c r="D84" s="2276">
        <f t="shared" si="246"/>
        <v>108.75</v>
      </c>
      <c r="E84" s="2276">
        <f t="shared" si="283"/>
        <v>105.75</v>
      </c>
      <c r="F84" s="2276">
        <f t="shared" si="283"/>
        <v>102.5</v>
      </c>
      <c r="G84" s="3790">
        <v>2003</v>
      </c>
      <c r="H84" s="2277">
        <v>1</v>
      </c>
      <c r="I84" s="2274"/>
      <c r="J84" s="2274"/>
      <c r="K84" s="2274"/>
      <c r="L84" s="2274"/>
      <c r="S84" s="2205"/>
      <c r="T84" s="2190"/>
      <c r="U84" s="2190"/>
      <c r="X84" s="2266"/>
      <c r="Y84" s="2266"/>
      <c r="Z84" s="2266"/>
    </row>
    <row r="85" spans="1:26" ht="13.8" thickBot="1">
      <c r="A85" s="2202" t="s">
        <v>509</v>
      </c>
      <c r="B85" s="2278">
        <v>106</v>
      </c>
      <c r="C85" s="2278">
        <v>107</v>
      </c>
      <c r="D85" s="2278">
        <f t="shared" si="246"/>
        <v>107</v>
      </c>
      <c r="E85" s="2278">
        <v>105</v>
      </c>
      <c r="F85" s="2279">
        <v>102</v>
      </c>
      <c r="G85" s="3788">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89">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89">
        <v>2002</v>
      </c>
      <c r="H87" s="2215">
        <v>2</v>
      </c>
      <c r="I87" s="2274"/>
      <c r="J87" s="2274"/>
      <c r="K87" s="2274"/>
      <c r="L87" s="2274"/>
      <c r="X87" s="2266"/>
      <c r="Y87" s="2266"/>
      <c r="Z87" s="2266"/>
    </row>
    <row r="88" spans="1:26" s="2239" customFormat="1" ht="13.8" thickBot="1">
      <c r="A88" s="2235" t="s">
        <v>512</v>
      </c>
      <c r="B88" s="2242">
        <f t="shared" si="284"/>
        <v>103</v>
      </c>
      <c r="C88" s="2242">
        <f t="shared" si="284"/>
        <v>104</v>
      </c>
      <c r="D88" s="2242">
        <f t="shared" si="246"/>
        <v>104</v>
      </c>
      <c r="E88" s="2242">
        <f t="shared" si="285"/>
        <v>103.5</v>
      </c>
      <c r="F88" s="2242">
        <f t="shared" si="285"/>
        <v>100.5</v>
      </c>
      <c r="G88" s="3790">
        <v>2002</v>
      </c>
      <c r="H88" s="2280">
        <v>1</v>
      </c>
      <c r="I88" s="2281"/>
      <c r="J88" s="2281"/>
      <c r="K88" s="2281"/>
      <c r="L88" s="2281"/>
      <c r="N88" s="2282"/>
      <c r="S88" s="2282"/>
      <c r="X88" s="2283"/>
      <c r="Y88" s="2283"/>
      <c r="Z88" s="2283"/>
    </row>
    <row r="89" spans="1:26" ht="13.8"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8"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8"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1239" customWidth="1"/>
    <col min="2" max="2" width="13.21875" style="1245" customWidth="1"/>
    <col min="3" max="3" width="15.6640625" style="1245" customWidth="1"/>
    <col min="4" max="4" width="9.33203125" style="1245" bestFit="1" customWidth="1"/>
    <col min="5" max="5" width="13.44140625" style="1245" customWidth="1"/>
    <col min="6" max="6" width="9" style="1245"/>
    <col min="7" max="7" width="9.33203125" style="1245" bestFit="1" customWidth="1"/>
    <col min="8" max="8" width="12.21875" style="1245" customWidth="1"/>
    <col min="9" max="9" width="9" style="1245"/>
    <col min="10" max="10" width="9.33203125" style="1245" bestFit="1" customWidth="1"/>
    <col min="11" max="11" width="4" style="1239" customWidth="1"/>
    <col min="12" max="12" width="5.109375" style="1245" customWidth="1"/>
    <col min="13" max="13" width="13.77734375" style="1245" customWidth="1"/>
    <col min="14" max="256" width="9" style="1245"/>
    <col min="257" max="257" width="4.88671875" style="1236" customWidth="1"/>
    <col min="258" max="258" width="13.21875" style="1236" customWidth="1"/>
    <col min="259" max="259" width="15.6640625" style="1236" customWidth="1"/>
    <col min="260" max="260" width="9.33203125" style="1236" bestFit="1" customWidth="1"/>
    <col min="261" max="261" width="13.44140625" style="1236" customWidth="1"/>
    <col min="262" max="262" width="9" style="1236"/>
    <col min="263" max="263" width="9.33203125" style="1236" bestFit="1" customWidth="1"/>
    <col min="264" max="265" width="9" style="1236"/>
    <col min="266" max="266" width="9.33203125" style="1236" bestFit="1" customWidth="1"/>
    <col min="267" max="267" width="4" style="1236" customWidth="1"/>
    <col min="268" max="268" width="5.109375" style="1236" customWidth="1"/>
    <col min="269" max="269" width="13.77734375" style="1236" customWidth="1"/>
    <col min="270" max="512" width="9" style="1236"/>
    <col min="513" max="513" width="4.88671875" style="1236" customWidth="1"/>
    <col min="514" max="514" width="13.21875" style="1236" customWidth="1"/>
    <col min="515" max="515" width="15.6640625" style="1236" customWidth="1"/>
    <col min="516" max="516" width="9.33203125" style="1236" bestFit="1" customWidth="1"/>
    <col min="517" max="517" width="13.44140625" style="1236" customWidth="1"/>
    <col min="518" max="518" width="9" style="1236"/>
    <col min="519" max="519" width="9.33203125" style="1236" bestFit="1" customWidth="1"/>
    <col min="520" max="521" width="9" style="1236"/>
    <col min="522" max="522" width="9.33203125" style="1236" bestFit="1" customWidth="1"/>
    <col min="523" max="523" width="4" style="1236" customWidth="1"/>
    <col min="524" max="524" width="5.109375" style="1236" customWidth="1"/>
    <col min="525" max="525" width="13.77734375" style="1236" customWidth="1"/>
    <col min="526" max="768" width="9" style="1236"/>
    <col min="769" max="769" width="4.88671875" style="1236" customWidth="1"/>
    <col min="770" max="770" width="13.21875" style="1236" customWidth="1"/>
    <col min="771" max="771" width="15.6640625" style="1236" customWidth="1"/>
    <col min="772" max="772" width="9.33203125" style="1236" bestFit="1" customWidth="1"/>
    <col min="773" max="773" width="13.44140625" style="1236" customWidth="1"/>
    <col min="774" max="774" width="9" style="1236"/>
    <col min="775" max="775" width="9.33203125" style="1236" bestFit="1" customWidth="1"/>
    <col min="776" max="777" width="9" style="1236"/>
    <col min="778" max="778" width="9.33203125" style="1236" bestFit="1" customWidth="1"/>
    <col min="779" max="779" width="4" style="1236" customWidth="1"/>
    <col min="780" max="780" width="5.109375" style="1236" customWidth="1"/>
    <col min="781" max="781" width="13.77734375" style="1236" customWidth="1"/>
    <col min="782" max="1024" width="9" style="1236"/>
    <col min="1025" max="1025" width="4.88671875" style="1236" customWidth="1"/>
    <col min="1026" max="1026" width="13.21875" style="1236" customWidth="1"/>
    <col min="1027" max="1027" width="15.6640625" style="1236" customWidth="1"/>
    <col min="1028" max="1028" width="9.33203125" style="1236" bestFit="1" customWidth="1"/>
    <col min="1029" max="1029" width="13.44140625" style="1236" customWidth="1"/>
    <col min="1030" max="1030" width="9" style="1236"/>
    <col min="1031" max="1031" width="9.33203125" style="1236" bestFit="1" customWidth="1"/>
    <col min="1032" max="1033" width="9" style="1236"/>
    <col min="1034" max="1034" width="9.33203125" style="1236" bestFit="1" customWidth="1"/>
    <col min="1035" max="1035" width="4" style="1236" customWidth="1"/>
    <col min="1036" max="1036" width="5.109375" style="1236" customWidth="1"/>
    <col min="1037" max="1037" width="13.77734375" style="1236" customWidth="1"/>
    <col min="1038" max="1280" width="9" style="1236"/>
    <col min="1281" max="1281" width="4.88671875" style="1236" customWidth="1"/>
    <col min="1282" max="1282" width="13.21875" style="1236" customWidth="1"/>
    <col min="1283" max="1283" width="15.6640625" style="1236" customWidth="1"/>
    <col min="1284" max="1284" width="9.33203125" style="1236" bestFit="1" customWidth="1"/>
    <col min="1285" max="1285" width="13.44140625" style="1236" customWidth="1"/>
    <col min="1286" max="1286" width="9" style="1236"/>
    <col min="1287" max="1287" width="9.33203125" style="1236" bestFit="1" customWidth="1"/>
    <col min="1288" max="1289" width="9" style="1236"/>
    <col min="1290" max="1290" width="9.33203125" style="1236" bestFit="1" customWidth="1"/>
    <col min="1291" max="1291" width="4" style="1236" customWidth="1"/>
    <col min="1292" max="1292" width="5.109375" style="1236" customWidth="1"/>
    <col min="1293" max="1293" width="13.77734375" style="1236" customWidth="1"/>
    <col min="1294" max="1536" width="9" style="1236"/>
    <col min="1537" max="1537" width="4.88671875" style="1236" customWidth="1"/>
    <col min="1538" max="1538" width="13.21875" style="1236" customWidth="1"/>
    <col min="1539" max="1539" width="15.6640625" style="1236" customWidth="1"/>
    <col min="1540" max="1540" width="9.33203125" style="1236" bestFit="1" customWidth="1"/>
    <col min="1541" max="1541" width="13.44140625" style="1236" customWidth="1"/>
    <col min="1542" max="1542" width="9" style="1236"/>
    <col min="1543" max="1543" width="9.33203125" style="1236" bestFit="1" customWidth="1"/>
    <col min="1544" max="1545" width="9" style="1236"/>
    <col min="1546" max="1546" width="9.33203125" style="1236" bestFit="1" customWidth="1"/>
    <col min="1547" max="1547" width="4" style="1236" customWidth="1"/>
    <col min="1548" max="1548" width="5.109375" style="1236" customWidth="1"/>
    <col min="1549" max="1549" width="13.77734375" style="1236" customWidth="1"/>
    <col min="1550" max="1792" width="9" style="1236"/>
    <col min="1793" max="1793" width="4.88671875" style="1236" customWidth="1"/>
    <col min="1794" max="1794" width="13.21875" style="1236" customWidth="1"/>
    <col min="1795" max="1795" width="15.6640625" style="1236" customWidth="1"/>
    <col min="1796" max="1796" width="9.33203125" style="1236" bestFit="1" customWidth="1"/>
    <col min="1797" max="1797" width="13.44140625" style="1236" customWidth="1"/>
    <col min="1798" max="1798" width="9" style="1236"/>
    <col min="1799" max="1799" width="9.33203125" style="1236" bestFit="1" customWidth="1"/>
    <col min="1800" max="1801" width="9" style="1236"/>
    <col min="1802" max="1802" width="9.33203125" style="1236" bestFit="1" customWidth="1"/>
    <col min="1803" max="1803" width="4" style="1236" customWidth="1"/>
    <col min="1804" max="1804" width="5.109375" style="1236" customWidth="1"/>
    <col min="1805" max="1805" width="13.77734375" style="1236" customWidth="1"/>
    <col min="1806" max="2048" width="9" style="1236"/>
    <col min="2049" max="2049" width="4.88671875" style="1236" customWidth="1"/>
    <col min="2050" max="2050" width="13.21875" style="1236" customWidth="1"/>
    <col min="2051" max="2051" width="15.6640625" style="1236" customWidth="1"/>
    <col min="2052" max="2052" width="9.33203125" style="1236" bestFit="1" customWidth="1"/>
    <col min="2053" max="2053" width="13.44140625" style="1236" customWidth="1"/>
    <col min="2054" max="2054" width="9" style="1236"/>
    <col min="2055" max="2055" width="9.33203125" style="1236" bestFit="1" customWidth="1"/>
    <col min="2056" max="2057" width="9" style="1236"/>
    <col min="2058" max="2058" width="9.33203125" style="1236" bestFit="1" customWidth="1"/>
    <col min="2059" max="2059" width="4" style="1236" customWidth="1"/>
    <col min="2060" max="2060" width="5.109375" style="1236" customWidth="1"/>
    <col min="2061" max="2061" width="13.77734375" style="1236" customWidth="1"/>
    <col min="2062" max="2304" width="9" style="1236"/>
    <col min="2305" max="2305" width="4.88671875" style="1236" customWidth="1"/>
    <col min="2306" max="2306" width="13.21875" style="1236" customWidth="1"/>
    <col min="2307" max="2307" width="15.6640625" style="1236" customWidth="1"/>
    <col min="2308" max="2308" width="9.33203125" style="1236" bestFit="1" customWidth="1"/>
    <col min="2309" max="2309" width="13.44140625" style="1236" customWidth="1"/>
    <col min="2310" max="2310" width="9" style="1236"/>
    <col min="2311" max="2311" width="9.33203125" style="1236" bestFit="1" customWidth="1"/>
    <col min="2312" max="2313" width="9" style="1236"/>
    <col min="2314" max="2314" width="9.33203125" style="1236" bestFit="1" customWidth="1"/>
    <col min="2315" max="2315" width="4" style="1236" customWidth="1"/>
    <col min="2316" max="2316" width="5.109375" style="1236" customWidth="1"/>
    <col min="2317" max="2317" width="13.77734375" style="1236" customWidth="1"/>
    <col min="2318" max="2560" width="9" style="1236"/>
    <col min="2561" max="2561" width="4.88671875" style="1236" customWidth="1"/>
    <col min="2562" max="2562" width="13.21875" style="1236" customWidth="1"/>
    <col min="2563" max="2563" width="15.6640625" style="1236" customWidth="1"/>
    <col min="2564" max="2564" width="9.33203125" style="1236" bestFit="1" customWidth="1"/>
    <col min="2565" max="2565" width="13.44140625" style="1236" customWidth="1"/>
    <col min="2566" max="2566" width="9" style="1236"/>
    <col min="2567" max="2567" width="9.33203125" style="1236" bestFit="1" customWidth="1"/>
    <col min="2568" max="2569" width="9" style="1236"/>
    <col min="2570" max="2570" width="9.33203125" style="1236" bestFit="1" customWidth="1"/>
    <col min="2571" max="2571" width="4" style="1236" customWidth="1"/>
    <col min="2572" max="2572" width="5.109375" style="1236" customWidth="1"/>
    <col min="2573" max="2573" width="13.77734375" style="1236" customWidth="1"/>
    <col min="2574" max="2816" width="9" style="1236"/>
    <col min="2817" max="2817" width="4.88671875" style="1236" customWidth="1"/>
    <col min="2818" max="2818" width="13.21875" style="1236" customWidth="1"/>
    <col min="2819" max="2819" width="15.6640625" style="1236" customWidth="1"/>
    <col min="2820" max="2820" width="9.33203125" style="1236" bestFit="1" customWidth="1"/>
    <col min="2821" max="2821" width="13.44140625" style="1236" customWidth="1"/>
    <col min="2822" max="2822" width="9" style="1236"/>
    <col min="2823" max="2823" width="9.33203125" style="1236" bestFit="1" customWidth="1"/>
    <col min="2824" max="2825" width="9" style="1236"/>
    <col min="2826" max="2826" width="9.33203125" style="1236" bestFit="1" customWidth="1"/>
    <col min="2827" max="2827" width="4" style="1236" customWidth="1"/>
    <col min="2828" max="2828" width="5.109375" style="1236" customWidth="1"/>
    <col min="2829" max="2829" width="13.77734375" style="1236" customWidth="1"/>
    <col min="2830" max="3072" width="9" style="1236"/>
    <col min="3073" max="3073" width="4.88671875" style="1236" customWidth="1"/>
    <col min="3074" max="3074" width="13.21875" style="1236" customWidth="1"/>
    <col min="3075" max="3075" width="15.6640625" style="1236" customWidth="1"/>
    <col min="3076" max="3076" width="9.33203125" style="1236" bestFit="1" customWidth="1"/>
    <col min="3077" max="3077" width="13.44140625" style="1236" customWidth="1"/>
    <col min="3078" max="3078" width="9" style="1236"/>
    <col min="3079" max="3079" width="9.33203125" style="1236" bestFit="1" customWidth="1"/>
    <col min="3080" max="3081" width="9" style="1236"/>
    <col min="3082" max="3082" width="9.33203125" style="1236" bestFit="1" customWidth="1"/>
    <col min="3083" max="3083" width="4" style="1236" customWidth="1"/>
    <col min="3084" max="3084" width="5.109375" style="1236" customWidth="1"/>
    <col min="3085" max="3085" width="13.77734375" style="1236" customWidth="1"/>
    <col min="3086" max="3328" width="9" style="1236"/>
    <col min="3329" max="3329" width="4.88671875" style="1236" customWidth="1"/>
    <col min="3330" max="3330" width="13.21875" style="1236" customWidth="1"/>
    <col min="3331" max="3331" width="15.6640625" style="1236" customWidth="1"/>
    <col min="3332" max="3332" width="9.33203125" style="1236" bestFit="1" customWidth="1"/>
    <col min="3333" max="3333" width="13.44140625" style="1236" customWidth="1"/>
    <col min="3334" max="3334" width="9" style="1236"/>
    <col min="3335" max="3335" width="9.33203125" style="1236" bestFit="1" customWidth="1"/>
    <col min="3336" max="3337" width="9" style="1236"/>
    <col min="3338" max="3338" width="9.33203125" style="1236" bestFit="1" customWidth="1"/>
    <col min="3339" max="3339" width="4" style="1236" customWidth="1"/>
    <col min="3340" max="3340" width="5.109375" style="1236" customWidth="1"/>
    <col min="3341" max="3341" width="13.77734375" style="1236" customWidth="1"/>
    <col min="3342" max="3584" width="9" style="1236"/>
    <col min="3585" max="3585" width="4.88671875" style="1236" customWidth="1"/>
    <col min="3586" max="3586" width="13.21875" style="1236" customWidth="1"/>
    <col min="3587" max="3587" width="15.6640625" style="1236" customWidth="1"/>
    <col min="3588" max="3588" width="9.33203125" style="1236" bestFit="1" customWidth="1"/>
    <col min="3589" max="3589" width="13.44140625" style="1236" customWidth="1"/>
    <col min="3590" max="3590" width="9" style="1236"/>
    <col min="3591" max="3591" width="9.33203125" style="1236" bestFit="1" customWidth="1"/>
    <col min="3592" max="3593" width="9" style="1236"/>
    <col min="3594" max="3594" width="9.33203125" style="1236" bestFit="1" customWidth="1"/>
    <col min="3595" max="3595" width="4" style="1236" customWidth="1"/>
    <col min="3596" max="3596" width="5.109375" style="1236" customWidth="1"/>
    <col min="3597" max="3597" width="13.77734375" style="1236" customWidth="1"/>
    <col min="3598" max="3840" width="9" style="1236"/>
    <col min="3841" max="3841" width="4.88671875" style="1236" customWidth="1"/>
    <col min="3842" max="3842" width="13.21875" style="1236" customWidth="1"/>
    <col min="3843" max="3843" width="15.6640625" style="1236" customWidth="1"/>
    <col min="3844" max="3844" width="9.33203125" style="1236" bestFit="1" customWidth="1"/>
    <col min="3845" max="3845" width="13.44140625" style="1236" customWidth="1"/>
    <col min="3846" max="3846" width="9" style="1236"/>
    <col min="3847" max="3847" width="9.33203125" style="1236" bestFit="1" customWidth="1"/>
    <col min="3848" max="3849" width="9" style="1236"/>
    <col min="3850" max="3850" width="9.33203125" style="1236" bestFit="1" customWidth="1"/>
    <col min="3851" max="3851" width="4" style="1236" customWidth="1"/>
    <col min="3852" max="3852" width="5.109375" style="1236" customWidth="1"/>
    <col min="3853" max="3853" width="13.77734375" style="1236" customWidth="1"/>
    <col min="3854" max="4096" width="9" style="1236"/>
    <col min="4097" max="4097" width="4.88671875" style="1236" customWidth="1"/>
    <col min="4098" max="4098" width="13.21875" style="1236" customWidth="1"/>
    <col min="4099" max="4099" width="15.6640625" style="1236" customWidth="1"/>
    <col min="4100" max="4100" width="9.33203125" style="1236" bestFit="1" customWidth="1"/>
    <col min="4101" max="4101" width="13.44140625" style="1236" customWidth="1"/>
    <col min="4102" max="4102" width="9" style="1236"/>
    <col min="4103" max="4103" width="9.33203125" style="1236" bestFit="1" customWidth="1"/>
    <col min="4104" max="4105" width="9" style="1236"/>
    <col min="4106" max="4106" width="9.33203125" style="1236" bestFit="1" customWidth="1"/>
    <col min="4107" max="4107" width="4" style="1236" customWidth="1"/>
    <col min="4108" max="4108" width="5.109375" style="1236" customWidth="1"/>
    <col min="4109" max="4109" width="13.77734375" style="1236" customWidth="1"/>
    <col min="4110" max="4352" width="9" style="1236"/>
    <col min="4353" max="4353" width="4.88671875" style="1236" customWidth="1"/>
    <col min="4354" max="4354" width="13.21875" style="1236" customWidth="1"/>
    <col min="4355" max="4355" width="15.6640625" style="1236" customWidth="1"/>
    <col min="4356" max="4356" width="9.33203125" style="1236" bestFit="1" customWidth="1"/>
    <col min="4357" max="4357" width="13.44140625" style="1236" customWidth="1"/>
    <col min="4358" max="4358" width="9" style="1236"/>
    <col min="4359" max="4359" width="9.33203125" style="1236" bestFit="1" customWidth="1"/>
    <col min="4360" max="4361" width="9" style="1236"/>
    <col min="4362" max="4362" width="9.33203125" style="1236" bestFit="1" customWidth="1"/>
    <col min="4363" max="4363" width="4" style="1236" customWidth="1"/>
    <col min="4364" max="4364" width="5.109375" style="1236" customWidth="1"/>
    <col min="4365" max="4365" width="13.77734375" style="1236" customWidth="1"/>
    <col min="4366" max="4608" width="9" style="1236"/>
    <col min="4609" max="4609" width="4.88671875" style="1236" customWidth="1"/>
    <col min="4610" max="4610" width="13.21875" style="1236" customWidth="1"/>
    <col min="4611" max="4611" width="15.6640625" style="1236" customWidth="1"/>
    <col min="4612" max="4612" width="9.33203125" style="1236" bestFit="1" customWidth="1"/>
    <col min="4613" max="4613" width="13.44140625" style="1236" customWidth="1"/>
    <col min="4614" max="4614" width="9" style="1236"/>
    <col min="4615" max="4615" width="9.33203125" style="1236" bestFit="1" customWidth="1"/>
    <col min="4616" max="4617" width="9" style="1236"/>
    <col min="4618" max="4618" width="9.33203125" style="1236" bestFit="1" customWidth="1"/>
    <col min="4619" max="4619" width="4" style="1236" customWidth="1"/>
    <col min="4620" max="4620" width="5.109375" style="1236" customWidth="1"/>
    <col min="4621" max="4621" width="13.77734375" style="1236" customWidth="1"/>
    <col min="4622" max="4864" width="9" style="1236"/>
    <col min="4865" max="4865" width="4.88671875" style="1236" customWidth="1"/>
    <col min="4866" max="4866" width="13.21875" style="1236" customWidth="1"/>
    <col min="4867" max="4867" width="15.6640625" style="1236" customWidth="1"/>
    <col min="4868" max="4868" width="9.33203125" style="1236" bestFit="1" customWidth="1"/>
    <col min="4869" max="4869" width="13.44140625" style="1236" customWidth="1"/>
    <col min="4870" max="4870" width="9" style="1236"/>
    <col min="4871" max="4871" width="9.33203125" style="1236" bestFit="1" customWidth="1"/>
    <col min="4872" max="4873" width="9" style="1236"/>
    <col min="4874" max="4874" width="9.33203125" style="1236" bestFit="1" customWidth="1"/>
    <col min="4875" max="4875" width="4" style="1236" customWidth="1"/>
    <col min="4876" max="4876" width="5.109375" style="1236" customWidth="1"/>
    <col min="4877" max="4877" width="13.77734375" style="1236" customWidth="1"/>
    <col min="4878" max="5120" width="9" style="1236"/>
    <col min="5121" max="5121" width="4.88671875" style="1236" customWidth="1"/>
    <col min="5122" max="5122" width="13.21875" style="1236" customWidth="1"/>
    <col min="5123" max="5123" width="15.6640625" style="1236" customWidth="1"/>
    <col min="5124" max="5124" width="9.33203125" style="1236" bestFit="1" customWidth="1"/>
    <col min="5125" max="5125" width="13.44140625" style="1236" customWidth="1"/>
    <col min="5126" max="5126" width="9" style="1236"/>
    <col min="5127" max="5127" width="9.33203125" style="1236" bestFit="1" customWidth="1"/>
    <col min="5128" max="5129" width="9" style="1236"/>
    <col min="5130" max="5130" width="9.33203125" style="1236" bestFit="1" customWidth="1"/>
    <col min="5131" max="5131" width="4" style="1236" customWidth="1"/>
    <col min="5132" max="5132" width="5.109375" style="1236" customWidth="1"/>
    <col min="5133" max="5133" width="13.77734375" style="1236" customWidth="1"/>
    <col min="5134" max="5376" width="9" style="1236"/>
    <col min="5377" max="5377" width="4.88671875" style="1236" customWidth="1"/>
    <col min="5378" max="5378" width="13.21875" style="1236" customWidth="1"/>
    <col min="5379" max="5379" width="15.6640625" style="1236" customWidth="1"/>
    <col min="5380" max="5380" width="9.33203125" style="1236" bestFit="1" customWidth="1"/>
    <col min="5381" max="5381" width="13.44140625" style="1236" customWidth="1"/>
    <col min="5382" max="5382" width="9" style="1236"/>
    <col min="5383" max="5383" width="9.33203125" style="1236" bestFit="1" customWidth="1"/>
    <col min="5384" max="5385" width="9" style="1236"/>
    <col min="5386" max="5386" width="9.33203125" style="1236" bestFit="1" customWidth="1"/>
    <col min="5387" max="5387" width="4" style="1236" customWidth="1"/>
    <col min="5388" max="5388" width="5.109375" style="1236" customWidth="1"/>
    <col min="5389" max="5389" width="13.77734375" style="1236" customWidth="1"/>
    <col min="5390" max="5632" width="9" style="1236"/>
    <col min="5633" max="5633" width="4.88671875" style="1236" customWidth="1"/>
    <col min="5634" max="5634" width="13.21875" style="1236" customWidth="1"/>
    <col min="5635" max="5635" width="15.6640625" style="1236" customWidth="1"/>
    <col min="5636" max="5636" width="9.33203125" style="1236" bestFit="1" customWidth="1"/>
    <col min="5637" max="5637" width="13.44140625" style="1236" customWidth="1"/>
    <col min="5638" max="5638" width="9" style="1236"/>
    <col min="5639" max="5639" width="9.33203125" style="1236" bestFit="1" customWidth="1"/>
    <col min="5640" max="5641" width="9" style="1236"/>
    <col min="5642" max="5642" width="9.33203125" style="1236" bestFit="1" customWidth="1"/>
    <col min="5643" max="5643" width="4" style="1236" customWidth="1"/>
    <col min="5644" max="5644" width="5.109375" style="1236" customWidth="1"/>
    <col min="5645" max="5645" width="13.77734375" style="1236" customWidth="1"/>
    <col min="5646" max="5888" width="9" style="1236"/>
    <col min="5889" max="5889" width="4.88671875" style="1236" customWidth="1"/>
    <col min="5890" max="5890" width="13.21875" style="1236" customWidth="1"/>
    <col min="5891" max="5891" width="15.6640625" style="1236" customWidth="1"/>
    <col min="5892" max="5892" width="9.33203125" style="1236" bestFit="1" customWidth="1"/>
    <col min="5893" max="5893" width="13.44140625" style="1236" customWidth="1"/>
    <col min="5894" max="5894" width="9" style="1236"/>
    <col min="5895" max="5895" width="9.33203125" style="1236" bestFit="1" customWidth="1"/>
    <col min="5896" max="5897" width="9" style="1236"/>
    <col min="5898" max="5898" width="9.33203125" style="1236" bestFit="1" customWidth="1"/>
    <col min="5899" max="5899" width="4" style="1236" customWidth="1"/>
    <col min="5900" max="5900" width="5.109375" style="1236" customWidth="1"/>
    <col min="5901" max="5901" width="13.77734375" style="1236" customWidth="1"/>
    <col min="5902" max="6144" width="9" style="1236"/>
    <col min="6145" max="6145" width="4.88671875" style="1236" customWidth="1"/>
    <col min="6146" max="6146" width="13.21875" style="1236" customWidth="1"/>
    <col min="6147" max="6147" width="15.6640625" style="1236" customWidth="1"/>
    <col min="6148" max="6148" width="9.33203125" style="1236" bestFit="1" customWidth="1"/>
    <col min="6149" max="6149" width="13.44140625" style="1236" customWidth="1"/>
    <col min="6150" max="6150" width="9" style="1236"/>
    <col min="6151" max="6151" width="9.33203125" style="1236" bestFit="1" customWidth="1"/>
    <col min="6152" max="6153" width="9" style="1236"/>
    <col min="6154" max="6154" width="9.33203125" style="1236" bestFit="1" customWidth="1"/>
    <col min="6155" max="6155" width="4" style="1236" customWidth="1"/>
    <col min="6156" max="6156" width="5.109375" style="1236" customWidth="1"/>
    <col min="6157" max="6157" width="13.77734375" style="1236" customWidth="1"/>
    <col min="6158" max="6400" width="9" style="1236"/>
    <col min="6401" max="6401" width="4.88671875" style="1236" customWidth="1"/>
    <col min="6402" max="6402" width="13.21875" style="1236" customWidth="1"/>
    <col min="6403" max="6403" width="15.6640625" style="1236" customWidth="1"/>
    <col min="6404" max="6404" width="9.33203125" style="1236" bestFit="1" customWidth="1"/>
    <col min="6405" max="6405" width="13.44140625" style="1236" customWidth="1"/>
    <col min="6406" max="6406" width="9" style="1236"/>
    <col min="6407" max="6407" width="9.33203125" style="1236" bestFit="1" customWidth="1"/>
    <col min="6408" max="6409" width="9" style="1236"/>
    <col min="6410" max="6410" width="9.33203125" style="1236" bestFit="1" customWidth="1"/>
    <col min="6411" max="6411" width="4" style="1236" customWidth="1"/>
    <col min="6412" max="6412" width="5.109375" style="1236" customWidth="1"/>
    <col min="6413" max="6413" width="13.77734375" style="1236" customWidth="1"/>
    <col min="6414" max="6656" width="9" style="1236"/>
    <col min="6657" max="6657" width="4.88671875" style="1236" customWidth="1"/>
    <col min="6658" max="6658" width="13.21875" style="1236" customWidth="1"/>
    <col min="6659" max="6659" width="15.6640625" style="1236" customWidth="1"/>
    <col min="6660" max="6660" width="9.33203125" style="1236" bestFit="1" customWidth="1"/>
    <col min="6661" max="6661" width="13.44140625" style="1236" customWidth="1"/>
    <col min="6662" max="6662" width="9" style="1236"/>
    <col min="6663" max="6663" width="9.33203125" style="1236" bestFit="1" customWidth="1"/>
    <col min="6664" max="6665" width="9" style="1236"/>
    <col min="6666" max="6666" width="9.33203125" style="1236" bestFit="1" customWidth="1"/>
    <col min="6667" max="6667" width="4" style="1236" customWidth="1"/>
    <col min="6668" max="6668" width="5.109375" style="1236" customWidth="1"/>
    <col min="6669" max="6669" width="13.77734375" style="1236" customWidth="1"/>
    <col min="6670" max="6912" width="9" style="1236"/>
    <col min="6913" max="6913" width="4.88671875" style="1236" customWidth="1"/>
    <col min="6914" max="6914" width="13.21875" style="1236" customWidth="1"/>
    <col min="6915" max="6915" width="15.6640625" style="1236" customWidth="1"/>
    <col min="6916" max="6916" width="9.33203125" style="1236" bestFit="1" customWidth="1"/>
    <col min="6917" max="6917" width="13.44140625" style="1236" customWidth="1"/>
    <col min="6918" max="6918" width="9" style="1236"/>
    <col min="6919" max="6919" width="9.33203125" style="1236" bestFit="1" customWidth="1"/>
    <col min="6920" max="6921" width="9" style="1236"/>
    <col min="6922" max="6922" width="9.33203125" style="1236" bestFit="1" customWidth="1"/>
    <col min="6923" max="6923" width="4" style="1236" customWidth="1"/>
    <col min="6924" max="6924" width="5.109375" style="1236" customWidth="1"/>
    <col min="6925" max="6925" width="13.77734375" style="1236" customWidth="1"/>
    <col min="6926" max="7168" width="9" style="1236"/>
    <col min="7169" max="7169" width="4.88671875" style="1236" customWidth="1"/>
    <col min="7170" max="7170" width="13.21875" style="1236" customWidth="1"/>
    <col min="7171" max="7171" width="15.6640625" style="1236" customWidth="1"/>
    <col min="7172" max="7172" width="9.33203125" style="1236" bestFit="1" customWidth="1"/>
    <col min="7173" max="7173" width="13.44140625" style="1236" customWidth="1"/>
    <col min="7174" max="7174" width="9" style="1236"/>
    <col min="7175" max="7175" width="9.33203125" style="1236" bestFit="1" customWidth="1"/>
    <col min="7176" max="7177" width="9" style="1236"/>
    <col min="7178" max="7178" width="9.33203125" style="1236" bestFit="1" customWidth="1"/>
    <col min="7179" max="7179" width="4" style="1236" customWidth="1"/>
    <col min="7180" max="7180" width="5.109375" style="1236" customWidth="1"/>
    <col min="7181" max="7181" width="13.77734375" style="1236" customWidth="1"/>
    <col min="7182" max="7424" width="9" style="1236"/>
    <col min="7425" max="7425" width="4.88671875" style="1236" customWidth="1"/>
    <col min="7426" max="7426" width="13.21875" style="1236" customWidth="1"/>
    <col min="7427" max="7427" width="15.6640625" style="1236" customWidth="1"/>
    <col min="7428" max="7428" width="9.33203125" style="1236" bestFit="1" customWidth="1"/>
    <col min="7429" max="7429" width="13.44140625" style="1236" customWidth="1"/>
    <col min="7430" max="7430" width="9" style="1236"/>
    <col min="7431" max="7431" width="9.33203125" style="1236" bestFit="1" customWidth="1"/>
    <col min="7432" max="7433" width="9" style="1236"/>
    <col min="7434" max="7434" width="9.33203125" style="1236" bestFit="1" customWidth="1"/>
    <col min="7435" max="7435" width="4" style="1236" customWidth="1"/>
    <col min="7436" max="7436" width="5.109375" style="1236" customWidth="1"/>
    <col min="7437" max="7437" width="13.77734375" style="1236" customWidth="1"/>
    <col min="7438" max="7680" width="9" style="1236"/>
    <col min="7681" max="7681" width="4.88671875" style="1236" customWidth="1"/>
    <col min="7682" max="7682" width="13.21875" style="1236" customWidth="1"/>
    <col min="7683" max="7683" width="15.6640625" style="1236" customWidth="1"/>
    <col min="7684" max="7684" width="9.33203125" style="1236" bestFit="1" customWidth="1"/>
    <col min="7685" max="7685" width="13.44140625" style="1236" customWidth="1"/>
    <col min="7686" max="7686" width="9" style="1236"/>
    <col min="7687" max="7687" width="9.33203125" style="1236" bestFit="1" customWidth="1"/>
    <col min="7688" max="7689" width="9" style="1236"/>
    <col min="7690" max="7690" width="9.33203125" style="1236" bestFit="1" customWidth="1"/>
    <col min="7691" max="7691" width="4" style="1236" customWidth="1"/>
    <col min="7692" max="7692" width="5.109375" style="1236" customWidth="1"/>
    <col min="7693" max="7693" width="13.77734375" style="1236" customWidth="1"/>
    <col min="7694" max="7936" width="9" style="1236"/>
    <col min="7937" max="7937" width="4.88671875" style="1236" customWidth="1"/>
    <col min="7938" max="7938" width="13.21875" style="1236" customWidth="1"/>
    <col min="7939" max="7939" width="15.6640625" style="1236" customWidth="1"/>
    <col min="7940" max="7940" width="9.33203125" style="1236" bestFit="1" customWidth="1"/>
    <col min="7941" max="7941" width="13.44140625" style="1236" customWidth="1"/>
    <col min="7942" max="7942" width="9" style="1236"/>
    <col min="7943" max="7943" width="9.33203125" style="1236" bestFit="1" customWidth="1"/>
    <col min="7944" max="7945" width="9" style="1236"/>
    <col min="7946" max="7946" width="9.33203125" style="1236" bestFit="1" customWidth="1"/>
    <col min="7947" max="7947" width="4" style="1236" customWidth="1"/>
    <col min="7948" max="7948" width="5.109375" style="1236" customWidth="1"/>
    <col min="7949" max="7949" width="13.77734375" style="1236" customWidth="1"/>
    <col min="7950" max="8192" width="9" style="1236"/>
    <col min="8193" max="8193" width="4.88671875" style="1236" customWidth="1"/>
    <col min="8194" max="8194" width="13.21875" style="1236" customWidth="1"/>
    <col min="8195" max="8195" width="15.6640625" style="1236" customWidth="1"/>
    <col min="8196" max="8196" width="9.33203125" style="1236" bestFit="1" customWidth="1"/>
    <col min="8197" max="8197" width="13.44140625" style="1236" customWidth="1"/>
    <col min="8198" max="8198" width="9" style="1236"/>
    <col min="8199" max="8199" width="9.33203125" style="1236" bestFit="1" customWidth="1"/>
    <col min="8200" max="8201" width="9" style="1236"/>
    <col min="8202" max="8202" width="9.33203125" style="1236" bestFit="1" customWidth="1"/>
    <col min="8203" max="8203" width="4" style="1236" customWidth="1"/>
    <col min="8204" max="8204" width="5.109375" style="1236" customWidth="1"/>
    <col min="8205" max="8205" width="13.77734375" style="1236" customWidth="1"/>
    <col min="8206" max="8448" width="9" style="1236"/>
    <col min="8449" max="8449" width="4.88671875" style="1236" customWidth="1"/>
    <col min="8450" max="8450" width="13.21875" style="1236" customWidth="1"/>
    <col min="8451" max="8451" width="15.6640625" style="1236" customWidth="1"/>
    <col min="8452" max="8452" width="9.33203125" style="1236" bestFit="1" customWidth="1"/>
    <col min="8453" max="8453" width="13.44140625" style="1236" customWidth="1"/>
    <col min="8454" max="8454" width="9" style="1236"/>
    <col min="8455" max="8455" width="9.33203125" style="1236" bestFit="1" customWidth="1"/>
    <col min="8456" max="8457" width="9" style="1236"/>
    <col min="8458" max="8458" width="9.33203125" style="1236" bestFit="1" customWidth="1"/>
    <col min="8459" max="8459" width="4" style="1236" customWidth="1"/>
    <col min="8460" max="8460" width="5.109375" style="1236" customWidth="1"/>
    <col min="8461" max="8461" width="13.77734375" style="1236" customWidth="1"/>
    <col min="8462" max="8704" width="9" style="1236"/>
    <col min="8705" max="8705" width="4.88671875" style="1236" customWidth="1"/>
    <col min="8706" max="8706" width="13.21875" style="1236" customWidth="1"/>
    <col min="8707" max="8707" width="15.6640625" style="1236" customWidth="1"/>
    <col min="8708" max="8708" width="9.33203125" style="1236" bestFit="1" customWidth="1"/>
    <col min="8709" max="8709" width="13.44140625" style="1236" customWidth="1"/>
    <col min="8710" max="8710" width="9" style="1236"/>
    <col min="8711" max="8711" width="9.33203125" style="1236" bestFit="1" customWidth="1"/>
    <col min="8712" max="8713" width="9" style="1236"/>
    <col min="8714" max="8714" width="9.33203125" style="1236" bestFit="1" customWidth="1"/>
    <col min="8715" max="8715" width="4" style="1236" customWidth="1"/>
    <col min="8716" max="8716" width="5.109375" style="1236" customWidth="1"/>
    <col min="8717" max="8717" width="13.77734375" style="1236" customWidth="1"/>
    <col min="8718" max="8960" width="9" style="1236"/>
    <col min="8961" max="8961" width="4.88671875" style="1236" customWidth="1"/>
    <col min="8962" max="8962" width="13.21875" style="1236" customWidth="1"/>
    <col min="8963" max="8963" width="15.6640625" style="1236" customWidth="1"/>
    <col min="8964" max="8964" width="9.33203125" style="1236" bestFit="1" customWidth="1"/>
    <col min="8965" max="8965" width="13.44140625" style="1236" customWidth="1"/>
    <col min="8966" max="8966" width="9" style="1236"/>
    <col min="8967" max="8967" width="9.33203125" style="1236" bestFit="1" customWidth="1"/>
    <col min="8968" max="8969" width="9" style="1236"/>
    <col min="8970" max="8970" width="9.33203125" style="1236" bestFit="1" customWidth="1"/>
    <col min="8971" max="8971" width="4" style="1236" customWidth="1"/>
    <col min="8972" max="8972" width="5.109375" style="1236" customWidth="1"/>
    <col min="8973" max="8973" width="13.77734375" style="1236" customWidth="1"/>
    <col min="8974" max="9216" width="9" style="1236"/>
    <col min="9217" max="9217" width="4.88671875" style="1236" customWidth="1"/>
    <col min="9218" max="9218" width="13.21875" style="1236" customWidth="1"/>
    <col min="9219" max="9219" width="15.6640625" style="1236" customWidth="1"/>
    <col min="9220" max="9220" width="9.33203125" style="1236" bestFit="1" customWidth="1"/>
    <col min="9221" max="9221" width="13.44140625" style="1236" customWidth="1"/>
    <col min="9222" max="9222" width="9" style="1236"/>
    <col min="9223" max="9223" width="9.33203125" style="1236" bestFit="1" customWidth="1"/>
    <col min="9224" max="9225" width="9" style="1236"/>
    <col min="9226" max="9226" width="9.33203125" style="1236" bestFit="1" customWidth="1"/>
    <col min="9227" max="9227" width="4" style="1236" customWidth="1"/>
    <col min="9228" max="9228" width="5.109375" style="1236" customWidth="1"/>
    <col min="9229" max="9229" width="13.77734375" style="1236" customWidth="1"/>
    <col min="9230" max="9472" width="9" style="1236"/>
    <col min="9473" max="9473" width="4.88671875" style="1236" customWidth="1"/>
    <col min="9474" max="9474" width="13.21875" style="1236" customWidth="1"/>
    <col min="9475" max="9475" width="15.6640625" style="1236" customWidth="1"/>
    <col min="9476" max="9476" width="9.33203125" style="1236" bestFit="1" customWidth="1"/>
    <col min="9477" max="9477" width="13.44140625" style="1236" customWidth="1"/>
    <col min="9478" max="9478" width="9" style="1236"/>
    <col min="9479" max="9479" width="9.33203125" style="1236" bestFit="1" customWidth="1"/>
    <col min="9480" max="9481" width="9" style="1236"/>
    <col min="9482" max="9482" width="9.33203125" style="1236" bestFit="1" customWidth="1"/>
    <col min="9483" max="9483" width="4" style="1236" customWidth="1"/>
    <col min="9484" max="9484" width="5.109375" style="1236" customWidth="1"/>
    <col min="9485" max="9485" width="13.77734375" style="1236" customWidth="1"/>
    <col min="9486" max="9728" width="9" style="1236"/>
    <col min="9729" max="9729" width="4.88671875" style="1236" customWidth="1"/>
    <col min="9730" max="9730" width="13.21875" style="1236" customWidth="1"/>
    <col min="9731" max="9731" width="15.6640625" style="1236" customWidth="1"/>
    <col min="9732" max="9732" width="9.33203125" style="1236" bestFit="1" customWidth="1"/>
    <col min="9733" max="9733" width="13.44140625" style="1236" customWidth="1"/>
    <col min="9734" max="9734" width="9" style="1236"/>
    <col min="9735" max="9735" width="9.33203125" style="1236" bestFit="1" customWidth="1"/>
    <col min="9736" max="9737" width="9" style="1236"/>
    <col min="9738" max="9738" width="9.33203125" style="1236" bestFit="1" customWidth="1"/>
    <col min="9739" max="9739" width="4" style="1236" customWidth="1"/>
    <col min="9740" max="9740" width="5.109375" style="1236" customWidth="1"/>
    <col min="9741" max="9741" width="13.77734375" style="1236" customWidth="1"/>
    <col min="9742" max="9984" width="9" style="1236"/>
    <col min="9985" max="9985" width="4.88671875" style="1236" customWidth="1"/>
    <col min="9986" max="9986" width="13.21875" style="1236" customWidth="1"/>
    <col min="9987" max="9987" width="15.6640625" style="1236" customWidth="1"/>
    <col min="9988" max="9988" width="9.33203125" style="1236" bestFit="1" customWidth="1"/>
    <col min="9989" max="9989" width="13.44140625" style="1236" customWidth="1"/>
    <col min="9990" max="9990" width="9" style="1236"/>
    <col min="9991" max="9991" width="9.33203125" style="1236" bestFit="1" customWidth="1"/>
    <col min="9992" max="9993" width="9" style="1236"/>
    <col min="9994" max="9994" width="9.33203125" style="1236" bestFit="1" customWidth="1"/>
    <col min="9995" max="9995" width="4" style="1236" customWidth="1"/>
    <col min="9996" max="9996" width="5.109375" style="1236" customWidth="1"/>
    <col min="9997" max="9997" width="13.77734375" style="1236" customWidth="1"/>
    <col min="9998" max="10240" width="9" style="1236"/>
    <col min="10241" max="10241" width="4.88671875" style="1236" customWidth="1"/>
    <col min="10242" max="10242" width="13.21875" style="1236" customWidth="1"/>
    <col min="10243" max="10243" width="15.6640625" style="1236" customWidth="1"/>
    <col min="10244" max="10244" width="9.33203125" style="1236" bestFit="1" customWidth="1"/>
    <col min="10245" max="10245" width="13.44140625" style="1236" customWidth="1"/>
    <col min="10246" max="10246" width="9" style="1236"/>
    <col min="10247" max="10247" width="9.33203125" style="1236" bestFit="1" customWidth="1"/>
    <col min="10248" max="10249" width="9" style="1236"/>
    <col min="10250" max="10250" width="9.33203125" style="1236" bestFit="1" customWidth="1"/>
    <col min="10251" max="10251" width="4" style="1236" customWidth="1"/>
    <col min="10252" max="10252" width="5.109375" style="1236" customWidth="1"/>
    <col min="10253" max="10253" width="13.77734375" style="1236" customWidth="1"/>
    <col min="10254" max="10496" width="9" style="1236"/>
    <col min="10497" max="10497" width="4.88671875" style="1236" customWidth="1"/>
    <col min="10498" max="10498" width="13.21875" style="1236" customWidth="1"/>
    <col min="10499" max="10499" width="15.6640625" style="1236" customWidth="1"/>
    <col min="10500" max="10500" width="9.33203125" style="1236" bestFit="1" customWidth="1"/>
    <col min="10501" max="10501" width="13.44140625" style="1236" customWidth="1"/>
    <col min="10502" max="10502" width="9" style="1236"/>
    <col min="10503" max="10503" width="9.33203125" style="1236" bestFit="1" customWidth="1"/>
    <col min="10504" max="10505" width="9" style="1236"/>
    <col min="10506" max="10506" width="9.33203125" style="1236" bestFit="1" customWidth="1"/>
    <col min="10507" max="10507" width="4" style="1236" customWidth="1"/>
    <col min="10508" max="10508" width="5.109375" style="1236" customWidth="1"/>
    <col min="10509" max="10509" width="13.77734375" style="1236" customWidth="1"/>
    <col min="10510" max="10752" width="9" style="1236"/>
    <col min="10753" max="10753" width="4.88671875" style="1236" customWidth="1"/>
    <col min="10754" max="10754" width="13.21875" style="1236" customWidth="1"/>
    <col min="10755" max="10755" width="15.6640625" style="1236" customWidth="1"/>
    <col min="10756" max="10756" width="9.33203125" style="1236" bestFit="1" customWidth="1"/>
    <col min="10757" max="10757" width="13.44140625" style="1236" customWidth="1"/>
    <col min="10758" max="10758" width="9" style="1236"/>
    <col min="10759" max="10759" width="9.33203125" style="1236" bestFit="1" customWidth="1"/>
    <col min="10760" max="10761" width="9" style="1236"/>
    <col min="10762" max="10762" width="9.33203125" style="1236" bestFit="1" customWidth="1"/>
    <col min="10763" max="10763" width="4" style="1236" customWidth="1"/>
    <col min="10764" max="10764" width="5.109375" style="1236" customWidth="1"/>
    <col min="10765" max="10765" width="13.77734375" style="1236" customWidth="1"/>
    <col min="10766" max="11008" width="9" style="1236"/>
    <col min="11009" max="11009" width="4.88671875" style="1236" customWidth="1"/>
    <col min="11010" max="11010" width="13.21875" style="1236" customWidth="1"/>
    <col min="11011" max="11011" width="15.6640625" style="1236" customWidth="1"/>
    <col min="11012" max="11012" width="9.33203125" style="1236" bestFit="1" customWidth="1"/>
    <col min="11013" max="11013" width="13.44140625" style="1236" customWidth="1"/>
    <col min="11014" max="11014" width="9" style="1236"/>
    <col min="11015" max="11015" width="9.33203125" style="1236" bestFit="1" customWidth="1"/>
    <col min="11016" max="11017" width="9" style="1236"/>
    <col min="11018" max="11018" width="9.33203125" style="1236" bestFit="1" customWidth="1"/>
    <col min="11019" max="11019" width="4" style="1236" customWidth="1"/>
    <col min="11020" max="11020" width="5.109375" style="1236" customWidth="1"/>
    <col min="11021" max="11021" width="13.77734375" style="1236" customWidth="1"/>
    <col min="11022" max="11264" width="9" style="1236"/>
    <col min="11265" max="11265" width="4.88671875" style="1236" customWidth="1"/>
    <col min="11266" max="11266" width="13.21875" style="1236" customWidth="1"/>
    <col min="11267" max="11267" width="15.6640625" style="1236" customWidth="1"/>
    <col min="11268" max="11268" width="9.33203125" style="1236" bestFit="1" customWidth="1"/>
    <col min="11269" max="11269" width="13.44140625" style="1236" customWidth="1"/>
    <col min="11270" max="11270" width="9" style="1236"/>
    <col min="11271" max="11271" width="9.33203125" style="1236" bestFit="1" customWidth="1"/>
    <col min="11272" max="11273" width="9" style="1236"/>
    <col min="11274" max="11274" width="9.33203125" style="1236" bestFit="1" customWidth="1"/>
    <col min="11275" max="11275" width="4" style="1236" customWidth="1"/>
    <col min="11276" max="11276" width="5.109375" style="1236" customWidth="1"/>
    <col min="11277" max="11277" width="13.77734375" style="1236" customWidth="1"/>
    <col min="11278" max="11520" width="9" style="1236"/>
    <col min="11521" max="11521" width="4.88671875" style="1236" customWidth="1"/>
    <col min="11522" max="11522" width="13.21875" style="1236" customWidth="1"/>
    <col min="11523" max="11523" width="15.6640625" style="1236" customWidth="1"/>
    <col min="11524" max="11524" width="9.33203125" style="1236" bestFit="1" customWidth="1"/>
    <col min="11525" max="11525" width="13.44140625" style="1236" customWidth="1"/>
    <col min="11526" max="11526" width="9" style="1236"/>
    <col min="11527" max="11527" width="9.33203125" style="1236" bestFit="1" customWidth="1"/>
    <col min="11528" max="11529" width="9" style="1236"/>
    <col min="11530" max="11530" width="9.33203125" style="1236" bestFit="1" customWidth="1"/>
    <col min="11531" max="11531" width="4" style="1236" customWidth="1"/>
    <col min="11532" max="11532" width="5.109375" style="1236" customWidth="1"/>
    <col min="11533" max="11533" width="13.77734375" style="1236" customWidth="1"/>
    <col min="11534" max="11776" width="9" style="1236"/>
    <col min="11777" max="11777" width="4.88671875" style="1236" customWidth="1"/>
    <col min="11778" max="11778" width="13.21875" style="1236" customWidth="1"/>
    <col min="11779" max="11779" width="15.6640625" style="1236" customWidth="1"/>
    <col min="11780" max="11780" width="9.33203125" style="1236" bestFit="1" customWidth="1"/>
    <col min="11781" max="11781" width="13.44140625" style="1236" customWidth="1"/>
    <col min="11782" max="11782" width="9" style="1236"/>
    <col min="11783" max="11783" width="9.33203125" style="1236" bestFit="1" customWidth="1"/>
    <col min="11784" max="11785" width="9" style="1236"/>
    <col min="11786" max="11786" width="9.33203125" style="1236" bestFit="1" customWidth="1"/>
    <col min="11787" max="11787" width="4" style="1236" customWidth="1"/>
    <col min="11788" max="11788" width="5.109375" style="1236" customWidth="1"/>
    <col min="11789" max="11789" width="13.77734375" style="1236" customWidth="1"/>
    <col min="11790" max="12032" width="9" style="1236"/>
    <col min="12033" max="12033" width="4.88671875" style="1236" customWidth="1"/>
    <col min="12034" max="12034" width="13.21875" style="1236" customWidth="1"/>
    <col min="12035" max="12035" width="15.6640625" style="1236" customWidth="1"/>
    <col min="12036" max="12036" width="9.33203125" style="1236" bestFit="1" customWidth="1"/>
    <col min="12037" max="12037" width="13.44140625" style="1236" customWidth="1"/>
    <col min="12038" max="12038" width="9" style="1236"/>
    <col min="12039" max="12039" width="9.33203125" style="1236" bestFit="1" customWidth="1"/>
    <col min="12040" max="12041" width="9" style="1236"/>
    <col min="12042" max="12042" width="9.33203125" style="1236" bestFit="1" customWidth="1"/>
    <col min="12043" max="12043" width="4" style="1236" customWidth="1"/>
    <col min="12044" max="12044" width="5.109375" style="1236" customWidth="1"/>
    <col min="12045" max="12045" width="13.77734375" style="1236" customWidth="1"/>
    <col min="12046" max="12288" width="9" style="1236"/>
    <col min="12289" max="12289" width="4.88671875" style="1236" customWidth="1"/>
    <col min="12290" max="12290" width="13.21875" style="1236" customWidth="1"/>
    <col min="12291" max="12291" width="15.6640625" style="1236" customWidth="1"/>
    <col min="12292" max="12292" width="9.33203125" style="1236" bestFit="1" customWidth="1"/>
    <col min="12293" max="12293" width="13.44140625" style="1236" customWidth="1"/>
    <col min="12294" max="12294" width="9" style="1236"/>
    <col min="12295" max="12295" width="9.33203125" style="1236" bestFit="1" customWidth="1"/>
    <col min="12296" max="12297" width="9" style="1236"/>
    <col min="12298" max="12298" width="9.33203125" style="1236" bestFit="1" customWidth="1"/>
    <col min="12299" max="12299" width="4" style="1236" customWidth="1"/>
    <col min="12300" max="12300" width="5.109375" style="1236" customWidth="1"/>
    <col min="12301" max="12301" width="13.77734375" style="1236" customWidth="1"/>
    <col min="12302" max="12544" width="9" style="1236"/>
    <col min="12545" max="12545" width="4.88671875" style="1236" customWidth="1"/>
    <col min="12546" max="12546" width="13.21875" style="1236" customWidth="1"/>
    <col min="12547" max="12547" width="15.6640625" style="1236" customWidth="1"/>
    <col min="12548" max="12548" width="9.33203125" style="1236" bestFit="1" customWidth="1"/>
    <col min="12549" max="12549" width="13.44140625" style="1236" customWidth="1"/>
    <col min="12550" max="12550" width="9" style="1236"/>
    <col min="12551" max="12551" width="9.33203125" style="1236" bestFit="1" customWidth="1"/>
    <col min="12552" max="12553" width="9" style="1236"/>
    <col min="12554" max="12554" width="9.33203125" style="1236" bestFit="1" customWidth="1"/>
    <col min="12555" max="12555" width="4" style="1236" customWidth="1"/>
    <col min="12556" max="12556" width="5.109375" style="1236" customWidth="1"/>
    <col min="12557" max="12557" width="13.77734375" style="1236" customWidth="1"/>
    <col min="12558" max="12800" width="9" style="1236"/>
    <col min="12801" max="12801" width="4.88671875" style="1236" customWidth="1"/>
    <col min="12802" max="12802" width="13.21875" style="1236" customWidth="1"/>
    <col min="12803" max="12803" width="15.6640625" style="1236" customWidth="1"/>
    <col min="12804" max="12804" width="9.33203125" style="1236" bestFit="1" customWidth="1"/>
    <col min="12805" max="12805" width="13.44140625" style="1236" customWidth="1"/>
    <col min="12806" max="12806" width="9" style="1236"/>
    <col min="12807" max="12807" width="9.33203125" style="1236" bestFit="1" customWidth="1"/>
    <col min="12808" max="12809" width="9" style="1236"/>
    <col min="12810" max="12810" width="9.33203125" style="1236" bestFit="1" customWidth="1"/>
    <col min="12811" max="12811" width="4" style="1236" customWidth="1"/>
    <col min="12812" max="12812" width="5.109375" style="1236" customWidth="1"/>
    <col min="12813" max="12813" width="13.77734375" style="1236" customWidth="1"/>
    <col min="12814" max="13056" width="9" style="1236"/>
    <col min="13057" max="13057" width="4.88671875" style="1236" customWidth="1"/>
    <col min="13058" max="13058" width="13.21875" style="1236" customWidth="1"/>
    <col min="13059" max="13059" width="15.6640625" style="1236" customWidth="1"/>
    <col min="13060" max="13060" width="9.33203125" style="1236" bestFit="1" customWidth="1"/>
    <col min="13061" max="13061" width="13.44140625" style="1236" customWidth="1"/>
    <col min="13062" max="13062" width="9" style="1236"/>
    <col min="13063" max="13063" width="9.33203125" style="1236" bestFit="1" customWidth="1"/>
    <col min="13064" max="13065" width="9" style="1236"/>
    <col min="13066" max="13066" width="9.33203125" style="1236" bestFit="1" customWidth="1"/>
    <col min="13067" max="13067" width="4" style="1236" customWidth="1"/>
    <col min="13068" max="13068" width="5.109375" style="1236" customWidth="1"/>
    <col min="13069" max="13069" width="13.77734375" style="1236" customWidth="1"/>
    <col min="13070" max="13312" width="9" style="1236"/>
    <col min="13313" max="13313" width="4.88671875" style="1236" customWidth="1"/>
    <col min="13314" max="13314" width="13.21875" style="1236" customWidth="1"/>
    <col min="13315" max="13315" width="15.6640625" style="1236" customWidth="1"/>
    <col min="13316" max="13316" width="9.33203125" style="1236" bestFit="1" customWidth="1"/>
    <col min="13317" max="13317" width="13.44140625" style="1236" customWidth="1"/>
    <col min="13318" max="13318" width="9" style="1236"/>
    <col min="13319" max="13319" width="9.33203125" style="1236" bestFit="1" customWidth="1"/>
    <col min="13320" max="13321" width="9" style="1236"/>
    <col min="13322" max="13322" width="9.33203125" style="1236" bestFit="1" customWidth="1"/>
    <col min="13323" max="13323" width="4" style="1236" customWidth="1"/>
    <col min="13324" max="13324" width="5.109375" style="1236" customWidth="1"/>
    <col min="13325" max="13325" width="13.77734375" style="1236" customWidth="1"/>
    <col min="13326" max="13568" width="9" style="1236"/>
    <col min="13569" max="13569" width="4.88671875" style="1236" customWidth="1"/>
    <col min="13570" max="13570" width="13.21875" style="1236" customWidth="1"/>
    <col min="13571" max="13571" width="15.6640625" style="1236" customWidth="1"/>
    <col min="13572" max="13572" width="9.33203125" style="1236" bestFit="1" customWidth="1"/>
    <col min="13573" max="13573" width="13.44140625" style="1236" customWidth="1"/>
    <col min="13574" max="13574" width="9" style="1236"/>
    <col min="13575" max="13575" width="9.33203125" style="1236" bestFit="1" customWidth="1"/>
    <col min="13576" max="13577" width="9" style="1236"/>
    <col min="13578" max="13578" width="9.33203125" style="1236" bestFit="1" customWidth="1"/>
    <col min="13579" max="13579" width="4" style="1236" customWidth="1"/>
    <col min="13580" max="13580" width="5.109375" style="1236" customWidth="1"/>
    <col min="13581" max="13581" width="13.77734375" style="1236" customWidth="1"/>
    <col min="13582" max="13824" width="9" style="1236"/>
    <col min="13825" max="13825" width="4.88671875" style="1236" customWidth="1"/>
    <col min="13826" max="13826" width="13.21875" style="1236" customWidth="1"/>
    <col min="13827" max="13827" width="15.6640625" style="1236" customWidth="1"/>
    <col min="13828" max="13828" width="9.33203125" style="1236" bestFit="1" customWidth="1"/>
    <col min="13829" max="13829" width="13.44140625" style="1236" customWidth="1"/>
    <col min="13830" max="13830" width="9" style="1236"/>
    <col min="13831" max="13831" width="9.33203125" style="1236" bestFit="1" customWidth="1"/>
    <col min="13832" max="13833" width="9" style="1236"/>
    <col min="13834" max="13834" width="9.33203125" style="1236" bestFit="1" customWidth="1"/>
    <col min="13835" max="13835" width="4" style="1236" customWidth="1"/>
    <col min="13836" max="13836" width="5.109375" style="1236" customWidth="1"/>
    <col min="13837" max="13837" width="13.77734375" style="1236" customWidth="1"/>
    <col min="13838" max="14080" width="9" style="1236"/>
    <col min="14081" max="14081" width="4.88671875" style="1236" customWidth="1"/>
    <col min="14082" max="14082" width="13.21875" style="1236" customWidth="1"/>
    <col min="14083" max="14083" width="15.6640625" style="1236" customWidth="1"/>
    <col min="14084" max="14084" width="9.33203125" style="1236" bestFit="1" customWidth="1"/>
    <col min="14085" max="14085" width="13.44140625" style="1236" customWidth="1"/>
    <col min="14086" max="14086" width="9" style="1236"/>
    <col min="14087" max="14087" width="9.33203125" style="1236" bestFit="1" customWidth="1"/>
    <col min="14088" max="14089" width="9" style="1236"/>
    <col min="14090" max="14090" width="9.33203125" style="1236" bestFit="1" customWidth="1"/>
    <col min="14091" max="14091" width="4" style="1236" customWidth="1"/>
    <col min="14092" max="14092" width="5.109375" style="1236" customWidth="1"/>
    <col min="14093" max="14093" width="13.77734375" style="1236" customWidth="1"/>
    <col min="14094" max="14336" width="9" style="1236"/>
    <col min="14337" max="14337" width="4.88671875" style="1236" customWidth="1"/>
    <col min="14338" max="14338" width="13.21875" style="1236" customWidth="1"/>
    <col min="14339" max="14339" width="15.6640625" style="1236" customWidth="1"/>
    <col min="14340" max="14340" width="9.33203125" style="1236" bestFit="1" customWidth="1"/>
    <col min="14341" max="14341" width="13.44140625" style="1236" customWidth="1"/>
    <col min="14342" max="14342" width="9" style="1236"/>
    <col min="14343" max="14343" width="9.33203125" style="1236" bestFit="1" customWidth="1"/>
    <col min="14344" max="14345" width="9" style="1236"/>
    <col min="14346" max="14346" width="9.33203125" style="1236" bestFit="1" customWidth="1"/>
    <col min="14347" max="14347" width="4" style="1236" customWidth="1"/>
    <col min="14348" max="14348" width="5.109375" style="1236" customWidth="1"/>
    <col min="14349" max="14349" width="13.77734375" style="1236" customWidth="1"/>
    <col min="14350" max="14592" width="9" style="1236"/>
    <col min="14593" max="14593" width="4.88671875" style="1236" customWidth="1"/>
    <col min="14594" max="14594" width="13.21875" style="1236" customWidth="1"/>
    <col min="14595" max="14595" width="15.6640625" style="1236" customWidth="1"/>
    <col min="14596" max="14596" width="9.33203125" style="1236" bestFit="1" customWidth="1"/>
    <col min="14597" max="14597" width="13.44140625" style="1236" customWidth="1"/>
    <col min="14598" max="14598" width="9" style="1236"/>
    <col min="14599" max="14599" width="9.33203125" style="1236" bestFit="1" customWidth="1"/>
    <col min="14600" max="14601" width="9" style="1236"/>
    <col min="14602" max="14602" width="9.33203125" style="1236" bestFit="1" customWidth="1"/>
    <col min="14603" max="14603" width="4" style="1236" customWidth="1"/>
    <col min="14604" max="14604" width="5.109375" style="1236" customWidth="1"/>
    <col min="14605" max="14605" width="13.77734375" style="1236" customWidth="1"/>
    <col min="14606" max="14848" width="9" style="1236"/>
    <col min="14849" max="14849" width="4.88671875" style="1236" customWidth="1"/>
    <col min="14850" max="14850" width="13.21875" style="1236" customWidth="1"/>
    <col min="14851" max="14851" width="15.6640625" style="1236" customWidth="1"/>
    <col min="14852" max="14852" width="9.33203125" style="1236" bestFit="1" customWidth="1"/>
    <col min="14853" max="14853" width="13.44140625" style="1236" customWidth="1"/>
    <col min="14854" max="14854" width="9" style="1236"/>
    <col min="14855" max="14855" width="9.33203125" style="1236" bestFit="1" customWidth="1"/>
    <col min="14856" max="14857" width="9" style="1236"/>
    <col min="14858" max="14858" width="9.33203125" style="1236" bestFit="1" customWidth="1"/>
    <col min="14859" max="14859" width="4" style="1236" customWidth="1"/>
    <col min="14860" max="14860" width="5.109375" style="1236" customWidth="1"/>
    <col min="14861" max="14861" width="13.77734375" style="1236" customWidth="1"/>
    <col min="14862" max="15104" width="9" style="1236"/>
    <col min="15105" max="15105" width="4.88671875" style="1236" customWidth="1"/>
    <col min="15106" max="15106" width="13.21875" style="1236" customWidth="1"/>
    <col min="15107" max="15107" width="15.6640625" style="1236" customWidth="1"/>
    <col min="15108" max="15108" width="9.33203125" style="1236" bestFit="1" customWidth="1"/>
    <col min="15109" max="15109" width="13.44140625" style="1236" customWidth="1"/>
    <col min="15110" max="15110" width="9" style="1236"/>
    <col min="15111" max="15111" width="9.33203125" style="1236" bestFit="1" customWidth="1"/>
    <col min="15112" max="15113" width="9" style="1236"/>
    <col min="15114" max="15114" width="9.33203125" style="1236" bestFit="1" customWidth="1"/>
    <col min="15115" max="15115" width="4" style="1236" customWidth="1"/>
    <col min="15116" max="15116" width="5.109375" style="1236" customWidth="1"/>
    <col min="15117" max="15117" width="13.77734375" style="1236" customWidth="1"/>
    <col min="15118" max="15360" width="9" style="1236"/>
    <col min="15361" max="15361" width="4.88671875" style="1236" customWidth="1"/>
    <col min="15362" max="15362" width="13.21875" style="1236" customWidth="1"/>
    <col min="15363" max="15363" width="15.6640625" style="1236" customWidth="1"/>
    <col min="15364" max="15364" width="9.33203125" style="1236" bestFit="1" customWidth="1"/>
    <col min="15365" max="15365" width="13.44140625" style="1236" customWidth="1"/>
    <col min="15366" max="15366" width="9" style="1236"/>
    <col min="15367" max="15367" width="9.33203125" style="1236" bestFit="1" customWidth="1"/>
    <col min="15368" max="15369" width="9" style="1236"/>
    <col min="15370" max="15370" width="9.33203125" style="1236" bestFit="1" customWidth="1"/>
    <col min="15371" max="15371" width="4" style="1236" customWidth="1"/>
    <col min="15372" max="15372" width="5.109375" style="1236" customWidth="1"/>
    <col min="15373" max="15373" width="13.77734375" style="1236" customWidth="1"/>
    <col min="15374" max="15616" width="9" style="1236"/>
    <col min="15617" max="15617" width="4.88671875" style="1236" customWidth="1"/>
    <col min="15618" max="15618" width="13.21875" style="1236" customWidth="1"/>
    <col min="15619" max="15619" width="15.6640625" style="1236" customWidth="1"/>
    <col min="15620" max="15620" width="9.33203125" style="1236" bestFit="1" customWidth="1"/>
    <col min="15621" max="15621" width="13.44140625" style="1236" customWidth="1"/>
    <col min="15622" max="15622" width="9" style="1236"/>
    <col min="15623" max="15623" width="9.33203125" style="1236" bestFit="1" customWidth="1"/>
    <col min="15624" max="15625" width="9" style="1236"/>
    <col min="15626" max="15626" width="9.33203125" style="1236" bestFit="1" customWidth="1"/>
    <col min="15627" max="15627" width="4" style="1236" customWidth="1"/>
    <col min="15628" max="15628" width="5.109375" style="1236" customWidth="1"/>
    <col min="15629" max="15629" width="13.77734375" style="1236" customWidth="1"/>
    <col min="15630" max="15872" width="9" style="1236"/>
    <col min="15873" max="15873" width="4.88671875" style="1236" customWidth="1"/>
    <col min="15874" max="15874" width="13.21875" style="1236" customWidth="1"/>
    <col min="15875" max="15875" width="15.6640625" style="1236" customWidth="1"/>
    <col min="15876" max="15876" width="9.33203125" style="1236" bestFit="1" customWidth="1"/>
    <col min="15877" max="15877" width="13.44140625" style="1236" customWidth="1"/>
    <col min="15878" max="15878" width="9" style="1236"/>
    <col min="15879" max="15879" width="9.33203125" style="1236" bestFit="1" customWidth="1"/>
    <col min="15880" max="15881" width="9" style="1236"/>
    <col min="15882" max="15882" width="9.33203125" style="1236" bestFit="1" customWidth="1"/>
    <col min="15883" max="15883" width="4" style="1236" customWidth="1"/>
    <col min="15884" max="15884" width="5.109375" style="1236" customWidth="1"/>
    <col min="15885" max="15885" width="13.77734375" style="1236" customWidth="1"/>
    <col min="15886" max="16128" width="9" style="1236"/>
    <col min="16129" max="16129" width="4.88671875" style="1236" customWidth="1"/>
    <col min="16130" max="16130" width="13.21875" style="1236" customWidth="1"/>
    <col min="16131" max="16131" width="15.6640625" style="1236" customWidth="1"/>
    <col min="16132" max="16132" width="9.33203125" style="1236" bestFit="1" customWidth="1"/>
    <col min="16133" max="16133" width="13.44140625" style="1236" customWidth="1"/>
    <col min="16134" max="16134" width="9" style="1236"/>
    <col min="16135" max="16135" width="9.33203125" style="1236" bestFit="1" customWidth="1"/>
    <col min="16136" max="16137" width="9" style="1236"/>
    <col min="16138" max="16138" width="9.33203125" style="1236" bestFit="1" customWidth="1"/>
    <col min="16139" max="16139" width="4" style="1236" customWidth="1"/>
    <col min="16140" max="16140" width="5.109375" style="1236" customWidth="1"/>
    <col min="16141" max="16141" width="13.77734375" style="1236" customWidth="1"/>
    <col min="16142" max="16384" width="9" style="1236"/>
  </cols>
  <sheetData>
    <row r="1" spans="1:257" s="1298" customFormat="1" ht="15" thickBot="1">
      <c r="A1" s="1292"/>
      <c r="B1" s="1299" t="s">
        <v>602</v>
      </c>
      <c r="C1" s="1293">
        <f>项目基本情况!D3</f>
        <v>44917</v>
      </c>
      <c r="D1" s="1299" t="s">
        <v>603</v>
      </c>
      <c r="E1" s="1294">
        <f>'数据-取费表'!B22</f>
        <v>1</v>
      </c>
      <c r="F1" s="1299" t="s">
        <v>604</v>
      </c>
      <c r="G1" s="1295">
        <f ca="1">INDIRECT("d"&amp;$K$1)/100</f>
        <v>3.6499999999999998E-2</v>
      </c>
      <c r="H1" s="1299" t="s">
        <v>634</v>
      </c>
      <c r="I1" s="1295">
        <f ca="1">F4/100</f>
        <v>1.4999999999999999E-2</v>
      </c>
      <c r="J1" s="1300">
        <f>IF(C1&gt;C13,0,MATCH(C1,C$13:C$109,-1))+IF(SUMIF(C13:C109,C1,D13:D109)=0,13,12)</f>
        <v>13</v>
      </c>
      <c r="K1" s="1300">
        <f ca="1">MATCH(E1,C3:C7,1)+IF(SUMIF(C3:C7,E1,D3:D7)=0,2,1)</f>
        <v>4</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6"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3.65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3.65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3.65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3.65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5" thickBot="1">
      <c r="B7" s="1251" t="s">
        <v>611</v>
      </c>
      <c r="C7" s="1252">
        <v>5</v>
      </c>
      <c r="D7" s="1253">
        <f ca="1">INDIRECT("h"&amp;$J$1)</f>
        <v>4.3</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399999999999999">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2">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31.2">
      <c r="A13" s="1281"/>
      <c r="B13" s="1282" t="s">
        <v>632</v>
      </c>
      <c r="C13" s="2818">
        <v>44795</v>
      </c>
      <c r="D13" s="2819">
        <v>3.65</v>
      </c>
      <c r="E13" s="2819">
        <f>D13</f>
        <v>3.65</v>
      </c>
      <c r="F13" s="2819">
        <f>D13</f>
        <v>3.65</v>
      </c>
      <c r="G13" s="2819">
        <f>D13</f>
        <v>3.65</v>
      </c>
      <c r="H13" s="2819">
        <v>4.3</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5.6">
      <c r="A14" s="1281"/>
      <c r="B14" s="2813"/>
      <c r="C14" s="2815">
        <v>44701</v>
      </c>
      <c r="D14" s="2814">
        <v>3.7</v>
      </c>
      <c r="E14" s="2814">
        <f>D14</f>
        <v>3.7</v>
      </c>
      <c r="F14" s="2814">
        <f>D14</f>
        <v>3.7</v>
      </c>
      <c r="G14" s="2814">
        <f>D14</f>
        <v>3.7</v>
      </c>
      <c r="H14" s="2814">
        <v>4.45</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5.6">
      <c r="A15" s="1281"/>
      <c r="B15" s="2813"/>
      <c r="C15" s="2815">
        <v>44581</v>
      </c>
      <c r="D15" s="2814">
        <v>3.7</v>
      </c>
      <c r="E15" s="2814">
        <f>D15</f>
        <v>3.7</v>
      </c>
      <c r="F15" s="2814">
        <f>D15</f>
        <v>3.7</v>
      </c>
      <c r="G15" s="2814">
        <f>D15</f>
        <v>3.7</v>
      </c>
      <c r="H15" s="2814">
        <v>4.5999999999999996</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5.6">
      <c r="A16" s="1281"/>
      <c r="B16" s="2814"/>
      <c r="C16" s="2815">
        <v>44550</v>
      </c>
      <c r="D16" s="2814">
        <v>3.8</v>
      </c>
      <c r="E16" s="2814">
        <f>D16</f>
        <v>3.8</v>
      </c>
      <c r="F16" s="2814">
        <f>D16</f>
        <v>3.8</v>
      </c>
      <c r="G16" s="2814">
        <f>D16</f>
        <v>3.8</v>
      </c>
      <c r="H16" s="2814">
        <v>4.6500000000000004</v>
      </c>
      <c r="I16" s="2814"/>
      <c r="J16" s="2819"/>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5.6">
      <c r="A17" s="1281"/>
      <c r="B17" s="2814"/>
      <c r="C17" s="2815">
        <v>43941</v>
      </c>
      <c r="D17" s="2814">
        <v>3.85</v>
      </c>
      <c r="E17" s="2814">
        <v>3.85</v>
      </c>
      <c r="F17" s="2814">
        <v>3.85</v>
      </c>
      <c r="G17" s="2814">
        <v>3.85</v>
      </c>
      <c r="H17" s="2814">
        <v>4.6500000000000004</v>
      </c>
      <c r="I17" s="2814"/>
      <c r="J17" s="2814"/>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6.8">
      <c r="A18" s="1281"/>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5.6">
      <c r="A19" s="1281"/>
      <c r="B19" s="2814"/>
      <c r="C19" s="2815">
        <v>43789</v>
      </c>
      <c r="D19" s="2814">
        <v>4.1500000000000004</v>
      </c>
      <c r="E19" s="2814">
        <v>4.1500000000000004</v>
      </c>
      <c r="F19" s="2814">
        <v>4.1500000000000004</v>
      </c>
      <c r="G19" s="2814">
        <v>4.1500000000000004</v>
      </c>
      <c r="H19" s="2814">
        <v>4.8</v>
      </c>
      <c r="I19" s="2814"/>
      <c r="J19" s="281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5.6">
      <c r="A20" s="1281"/>
      <c r="B20" s="2814"/>
      <c r="C20" s="2815">
        <v>43728</v>
      </c>
      <c r="D20" s="2814">
        <v>4.2</v>
      </c>
      <c r="E20" s="2814">
        <v>4.2</v>
      </c>
      <c r="F20" s="2814">
        <v>4.2</v>
      </c>
      <c r="G20" s="2814">
        <v>4.2</v>
      </c>
      <c r="H20" s="2814">
        <v>4.8499999999999996</v>
      </c>
      <c r="I20" s="2814"/>
      <c r="J20" s="281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5.6">
      <c r="A21" s="1281"/>
      <c r="B21" s="2813" t="s">
        <v>2313</v>
      </c>
      <c r="C21" s="2816">
        <v>43697</v>
      </c>
      <c r="D21" s="2817">
        <v>4.25</v>
      </c>
      <c r="E21" s="2817">
        <v>4.25</v>
      </c>
      <c r="F21" s="2817">
        <v>4.25</v>
      </c>
      <c r="G21" s="2817">
        <v>4.25</v>
      </c>
      <c r="H21" s="2817">
        <v>4.8499999999999996</v>
      </c>
      <c r="I21" s="2817"/>
      <c r="J21" s="2817"/>
      <c r="K21" s="1275"/>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5.6">
      <c r="A22" s="2820"/>
      <c r="B22" s="2821"/>
      <c r="C22" s="2822">
        <v>42301</v>
      </c>
      <c r="D22" s="2823">
        <v>4.3499999999999996</v>
      </c>
      <c r="E22" s="2823">
        <v>4.3499999999999996</v>
      </c>
      <c r="F22" s="2823">
        <v>4.75</v>
      </c>
      <c r="G22" s="2823">
        <v>4.75</v>
      </c>
      <c r="H22" s="2823">
        <v>4.9000000000000004</v>
      </c>
      <c r="I22" s="2823"/>
      <c r="J22" s="2823"/>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c r="B23" s="1287"/>
      <c r="C23" s="1288">
        <v>42242</v>
      </c>
      <c r="D23" s="1287">
        <v>4.5999999999999996</v>
      </c>
      <c r="E23" s="1287">
        <v>4.5999999999999996</v>
      </c>
      <c r="F23" s="1287">
        <v>5</v>
      </c>
      <c r="G23" s="1287">
        <v>5</v>
      </c>
      <c r="H23" s="1287">
        <v>5.15</v>
      </c>
      <c r="I23" s="1287">
        <v>2.75</v>
      </c>
      <c r="J23" s="1287">
        <v>3.25</v>
      </c>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42183</v>
      </c>
      <c r="D24" s="1287">
        <v>4.8499999999999996</v>
      </c>
      <c r="E24" s="1287">
        <v>4.8499999999999996</v>
      </c>
      <c r="F24" s="1287">
        <v>5.25</v>
      </c>
      <c r="G24" s="1287">
        <v>5.25</v>
      </c>
      <c r="H24" s="1287">
        <v>5.4</v>
      </c>
      <c r="I24" s="1287">
        <v>3</v>
      </c>
      <c r="J24" s="1287">
        <v>3.5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42135</v>
      </c>
      <c r="D25" s="1287">
        <v>5.0999999999999996</v>
      </c>
      <c r="E25" s="1287">
        <v>5.0999999999999996</v>
      </c>
      <c r="F25" s="1287">
        <v>5.5</v>
      </c>
      <c r="G25" s="1287">
        <v>5.5</v>
      </c>
      <c r="H25" s="1287">
        <v>5.65</v>
      </c>
      <c r="I25" s="1287">
        <v>3.25</v>
      </c>
      <c r="J25" s="1287">
        <v>3.75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42064</v>
      </c>
      <c r="D26" s="1287">
        <v>5.35</v>
      </c>
      <c r="E26" s="1287">
        <v>5.35</v>
      </c>
      <c r="F26" s="1287">
        <v>5.75</v>
      </c>
      <c r="G26" s="1287">
        <v>5.75</v>
      </c>
      <c r="H26" s="1287">
        <v>5.9</v>
      </c>
      <c r="I26" s="1287"/>
      <c r="J26" s="128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41965</v>
      </c>
      <c r="D27" s="1287">
        <v>5.6</v>
      </c>
      <c r="E27" s="1287">
        <v>5.6</v>
      </c>
      <c r="F27" s="1287">
        <v>6</v>
      </c>
      <c r="G27" s="1287">
        <v>6</v>
      </c>
      <c r="H27" s="1287">
        <v>6.15</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41096</v>
      </c>
      <c r="D28" s="1287">
        <v>5.6</v>
      </c>
      <c r="E28" s="1287">
        <v>6</v>
      </c>
      <c r="F28" s="1287">
        <v>6.15</v>
      </c>
      <c r="G28" s="1287">
        <v>6.4</v>
      </c>
      <c r="H28" s="1287">
        <v>6.55</v>
      </c>
      <c r="I28" s="1287">
        <v>4</v>
      </c>
      <c r="J28" s="1287">
        <v>4.5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41068</v>
      </c>
      <c r="D29" s="1287">
        <v>5.85</v>
      </c>
      <c r="E29" s="1287">
        <v>6.31</v>
      </c>
      <c r="F29" s="1287">
        <v>6.4</v>
      </c>
      <c r="G29" s="1287">
        <v>6.65</v>
      </c>
      <c r="H29" s="1287">
        <v>6.8</v>
      </c>
      <c r="I29" s="1287">
        <v>4.2</v>
      </c>
      <c r="J29" s="1287">
        <v>4.7</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40731</v>
      </c>
      <c r="D30" s="1287">
        <v>6.1</v>
      </c>
      <c r="E30" s="1287">
        <v>6.56</v>
      </c>
      <c r="F30" s="1287">
        <v>6.65</v>
      </c>
      <c r="G30" s="1287">
        <v>6.9</v>
      </c>
      <c r="H30" s="1287">
        <v>7.05</v>
      </c>
      <c r="I30" s="1287">
        <v>4.45</v>
      </c>
      <c r="J30" s="1287">
        <v>4.9000000000000004</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40639</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40583</v>
      </c>
      <c r="D32" s="1287">
        <v>5.6</v>
      </c>
      <c r="E32" s="1287">
        <v>6.06</v>
      </c>
      <c r="F32" s="1287">
        <v>6.1</v>
      </c>
      <c r="G32" s="1287">
        <v>6.45</v>
      </c>
      <c r="H32" s="1287">
        <v>6.6</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40538</v>
      </c>
      <c r="D33" s="1287">
        <v>5.35</v>
      </c>
      <c r="E33" s="1287">
        <v>5.81</v>
      </c>
      <c r="F33" s="1287">
        <v>5.85</v>
      </c>
      <c r="G33" s="1287">
        <v>6.22</v>
      </c>
      <c r="H33" s="1287">
        <v>6.4</v>
      </c>
      <c r="I33" s="1287">
        <v>3.75</v>
      </c>
      <c r="J33" s="1287">
        <v>4.3</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40471</v>
      </c>
      <c r="D34" s="1287">
        <v>5.0999999999999996</v>
      </c>
      <c r="E34" s="1287">
        <v>5.56</v>
      </c>
      <c r="F34" s="1287">
        <v>5.6</v>
      </c>
      <c r="G34" s="1287">
        <v>5.96</v>
      </c>
      <c r="H34" s="1287">
        <v>6.14</v>
      </c>
      <c r="I34" s="1287">
        <v>3.5</v>
      </c>
      <c r="J34" s="1287">
        <v>4.05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39805</v>
      </c>
      <c r="D35" s="1287">
        <v>4.8600000000000003</v>
      </c>
      <c r="E35" s="1287">
        <v>5.31</v>
      </c>
      <c r="F35" s="1287">
        <v>5.4</v>
      </c>
      <c r="G35" s="1287">
        <v>5.76</v>
      </c>
      <c r="H35" s="1287">
        <v>5.94</v>
      </c>
      <c r="I35" s="1287">
        <v>3.33</v>
      </c>
      <c r="J35" s="1287">
        <v>3.87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39779</v>
      </c>
      <c r="D36" s="1287">
        <v>5.04</v>
      </c>
      <c r="E36" s="1287">
        <v>5.58</v>
      </c>
      <c r="F36" s="1287">
        <v>5.67</v>
      </c>
      <c r="G36" s="1287">
        <v>5.94</v>
      </c>
      <c r="H36" s="1287">
        <v>6.12</v>
      </c>
      <c r="I36" s="1287">
        <v>3.51</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39751</v>
      </c>
      <c r="D37" s="1287">
        <v>6.03</v>
      </c>
      <c r="E37" s="1287">
        <v>6.66</v>
      </c>
      <c r="F37" s="1287">
        <v>6.75</v>
      </c>
      <c r="G37" s="1287">
        <v>7.02</v>
      </c>
      <c r="H37" s="1287">
        <v>7.2</v>
      </c>
      <c r="I37" s="1287">
        <v>4.05</v>
      </c>
      <c r="J37" s="1287">
        <v>4.59</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9">
        <v>39748</v>
      </c>
      <c r="D38" s="1287">
        <v>6.12</v>
      </c>
      <c r="E38" s="1287">
        <v>6.93</v>
      </c>
      <c r="F38" s="1287">
        <v>7.02</v>
      </c>
      <c r="G38" s="1287">
        <v>7.29</v>
      </c>
      <c r="H38" s="1287">
        <v>7.47</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39730</v>
      </c>
      <c r="D39" s="1287">
        <v>6.12</v>
      </c>
      <c r="E39" s="1287">
        <v>6.93</v>
      </c>
      <c r="F39" s="1287">
        <v>7.02</v>
      </c>
      <c r="G39" s="1287">
        <v>7.29</v>
      </c>
      <c r="H39" s="1287">
        <v>7.47</v>
      </c>
      <c r="I39" s="1287">
        <v>4.32</v>
      </c>
      <c r="J39" s="1287">
        <v>4.8600000000000003</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39707</v>
      </c>
      <c r="D40" s="1287">
        <v>6.21</v>
      </c>
      <c r="E40" s="1287">
        <v>7.2</v>
      </c>
      <c r="F40" s="1287">
        <v>7.29</v>
      </c>
      <c r="G40" s="1287">
        <v>7.56</v>
      </c>
      <c r="H40" s="1287">
        <v>7.74</v>
      </c>
      <c r="I40" s="1287">
        <v>4.59</v>
      </c>
      <c r="J40" s="1287">
        <v>5.13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39437</v>
      </c>
      <c r="D41" s="1287">
        <v>6.57</v>
      </c>
      <c r="E41" s="1287">
        <v>7.47</v>
      </c>
      <c r="F41" s="1287">
        <v>7.56</v>
      </c>
      <c r="G41" s="1287">
        <v>7.74</v>
      </c>
      <c r="H41" s="1287">
        <v>7.83</v>
      </c>
      <c r="I41" s="1287">
        <v>4.7699999999999996</v>
      </c>
      <c r="J41" s="1287">
        <v>5.22</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39340</v>
      </c>
      <c r="D42" s="1287">
        <v>6.48</v>
      </c>
      <c r="E42" s="1287">
        <v>7.29</v>
      </c>
      <c r="F42" s="1287">
        <v>7.47</v>
      </c>
      <c r="G42" s="1287">
        <v>7.65</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39316</v>
      </c>
      <c r="D43" s="1287">
        <v>6.21</v>
      </c>
      <c r="E43" s="1287">
        <v>7.02</v>
      </c>
      <c r="F43" s="1287">
        <v>7.2</v>
      </c>
      <c r="G43" s="1287">
        <v>7.38</v>
      </c>
      <c r="H43" s="1287">
        <v>7.56</v>
      </c>
      <c r="I43" s="1287">
        <v>4.59</v>
      </c>
      <c r="J43" s="1287">
        <v>5.04</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39284</v>
      </c>
      <c r="D44" s="1287">
        <v>6.03</v>
      </c>
      <c r="E44" s="1287">
        <v>6.84</v>
      </c>
      <c r="F44" s="1287">
        <v>7.02</v>
      </c>
      <c r="G44" s="1287">
        <v>7.2</v>
      </c>
      <c r="H44" s="1287">
        <v>7.38</v>
      </c>
      <c r="I44" s="1287">
        <v>4.5</v>
      </c>
      <c r="J44" s="1287">
        <v>4.95</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39221</v>
      </c>
      <c r="D45" s="1287">
        <v>5.85</v>
      </c>
      <c r="E45" s="1287">
        <v>6.57</v>
      </c>
      <c r="F45" s="1287">
        <v>6.75</v>
      </c>
      <c r="G45" s="1287">
        <v>6.93</v>
      </c>
      <c r="H45" s="1287">
        <v>7.2</v>
      </c>
      <c r="I45" s="1287">
        <v>4.41</v>
      </c>
      <c r="J45" s="1287">
        <v>4.8600000000000003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39159</v>
      </c>
      <c r="D46" s="1287">
        <v>5.67</v>
      </c>
      <c r="E46" s="1287">
        <v>6.39</v>
      </c>
      <c r="F46" s="1287">
        <v>6.57</v>
      </c>
      <c r="G46" s="1287">
        <v>6.75</v>
      </c>
      <c r="H46" s="1287">
        <v>7.11</v>
      </c>
      <c r="I46" s="1287">
        <v>4.32</v>
      </c>
      <c r="J46" s="1287">
        <v>4.7699999999999996</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38948</v>
      </c>
      <c r="D47" s="1287">
        <v>5.58</v>
      </c>
      <c r="E47" s="1287">
        <v>6.12</v>
      </c>
      <c r="F47" s="1287">
        <v>6.3</v>
      </c>
      <c r="G47" s="1287">
        <v>6.48</v>
      </c>
      <c r="H47" s="1287">
        <v>6.84</v>
      </c>
      <c r="I47" s="1287">
        <v>4.1399999999999997</v>
      </c>
      <c r="J47" s="1287">
        <v>4.59</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38835</v>
      </c>
      <c r="D48" s="1287">
        <v>5.4</v>
      </c>
      <c r="E48" s="1287">
        <v>5.85</v>
      </c>
      <c r="F48" s="1287">
        <v>6.03</v>
      </c>
      <c r="G48" s="1287">
        <v>6.12</v>
      </c>
      <c r="H48" s="1287">
        <v>6.39</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38428</v>
      </c>
      <c r="D49" s="1287">
        <v>5.22</v>
      </c>
      <c r="E49" s="1287">
        <v>5.58</v>
      </c>
      <c r="F49" s="1287">
        <v>5.76</v>
      </c>
      <c r="G49" s="1287">
        <v>5.85</v>
      </c>
      <c r="H49" s="1287">
        <v>6.12</v>
      </c>
      <c r="I49" s="1287">
        <v>3.96</v>
      </c>
      <c r="J49" s="1287">
        <v>4.41</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38289</v>
      </c>
      <c r="D50" s="1287">
        <v>5.22</v>
      </c>
      <c r="E50" s="1287">
        <v>5.58</v>
      </c>
      <c r="F50" s="1287">
        <v>5.76</v>
      </c>
      <c r="G50" s="1287">
        <v>5.85</v>
      </c>
      <c r="H50" s="1287">
        <v>6.12</v>
      </c>
      <c r="I50" s="1287">
        <v>3.78</v>
      </c>
      <c r="J50" s="1287">
        <v>4.2300000000000004</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37308</v>
      </c>
      <c r="D51" s="1287">
        <v>5.04</v>
      </c>
      <c r="E51" s="1287">
        <v>5.31</v>
      </c>
      <c r="F51" s="1287">
        <v>5.49</v>
      </c>
      <c r="G51" s="1287">
        <v>5.58</v>
      </c>
      <c r="H51" s="1287">
        <v>5.76</v>
      </c>
      <c r="I51" s="1287">
        <v>3.6</v>
      </c>
      <c r="J51" s="1287">
        <v>4.05</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36321</v>
      </c>
      <c r="D52" s="1287">
        <v>5.58</v>
      </c>
      <c r="E52" s="1287">
        <v>5.85</v>
      </c>
      <c r="F52" s="1287">
        <v>5.94</v>
      </c>
      <c r="G52" s="1287">
        <v>6.03</v>
      </c>
      <c r="H52" s="1287">
        <v>6.21</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36136</v>
      </c>
      <c r="D53" s="1287">
        <v>6.12</v>
      </c>
      <c r="E53" s="1287">
        <v>6.39</v>
      </c>
      <c r="F53" s="1287">
        <v>6.66</v>
      </c>
      <c r="G53" s="1287">
        <v>7.2</v>
      </c>
      <c r="H53" s="1287">
        <v>7.56</v>
      </c>
      <c r="I53" s="1287">
        <v>0</v>
      </c>
      <c r="J53" s="1287">
        <v>0</v>
      </c>
      <c r="L53" s="1287"/>
      <c r="M53" s="1288"/>
      <c r="N53" s="1287"/>
      <c r="O53" s="1287"/>
      <c r="P53" s="1287"/>
      <c r="Q53" s="1287"/>
      <c r="R53" s="1287"/>
      <c r="S53" s="1287"/>
      <c r="T53" s="1287"/>
      <c r="U53" s="1287"/>
      <c r="V53" s="1287"/>
      <c r="W53" s="1287"/>
      <c r="X53" s="1287"/>
      <c r="Y53" s="1287"/>
      <c r="Z53" s="1287"/>
    </row>
    <row r="54" spans="2:26">
      <c r="B54" s="1287"/>
      <c r="C54" s="1288">
        <v>35977</v>
      </c>
      <c r="D54" s="1287">
        <v>6.57</v>
      </c>
      <c r="E54" s="1287">
        <v>6.93</v>
      </c>
      <c r="F54" s="1287">
        <v>7.11</v>
      </c>
      <c r="G54" s="1287">
        <v>7.65</v>
      </c>
      <c r="H54" s="1287">
        <v>8.01</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35879</v>
      </c>
      <c r="D55" s="1287">
        <v>7.02</v>
      </c>
      <c r="E55" s="1287">
        <v>7.92</v>
      </c>
      <c r="F55" s="1287">
        <v>9</v>
      </c>
      <c r="G55" s="1287">
        <v>9.7200000000000006</v>
      </c>
      <c r="H55" s="1287">
        <v>10.35</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35726</v>
      </c>
      <c r="D56" s="1287">
        <v>7.65</v>
      </c>
      <c r="E56" s="1287">
        <v>8.64</v>
      </c>
      <c r="F56" s="1287">
        <v>9.36</v>
      </c>
      <c r="G56" s="1287">
        <v>9.9</v>
      </c>
      <c r="H56" s="1287">
        <v>10.53</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35300</v>
      </c>
      <c r="D57" s="1287">
        <v>9.18</v>
      </c>
      <c r="E57" s="1287">
        <v>10.08</v>
      </c>
      <c r="F57" s="1287">
        <v>10.98</v>
      </c>
      <c r="G57" s="1287">
        <v>11.7</v>
      </c>
      <c r="H57" s="1287">
        <v>12.42</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35186</v>
      </c>
      <c r="D58" s="1287">
        <v>9.7200000000000006</v>
      </c>
      <c r="E58" s="1287">
        <v>10.98</v>
      </c>
      <c r="F58" s="1287">
        <v>13.14</v>
      </c>
      <c r="G58" s="1287">
        <v>14.94</v>
      </c>
      <c r="H58" s="1287">
        <v>15.12</v>
      </c>
      <c r="I58" s="1287">
        <v>0</v>
      </c>
      <c r="J58" s="1287">
        <v>0</v>
      </c>
    </row>
    <row r="59" spans="2:26">
      <c r="B59" s="1287"/>
      <c r="C59" s="1288">
        <v>34881</v>
      </c>
      <c r="D59" s="1287">
        <v>10.08</v>
      </c>
      <c r="E59" s="1287">
        <v>12.06</v>
      </c>
      <c r="F59" s="1287">
        <v>13.5</v>
      </c>
      <c r="G59" s="1287">
        <v>15.12</v>
      </c>
      <c r="H59" s="1287">
        <v>15.3</v>
      </c>
      <c r="I59" s="1287">
        <v>0</v>
      </c>
      <c r="J59" s="1287">
        <v>0</v>
      </c>
    </row>
    <row r="60" spans="2:26">
      <c r="B60" s="1287"/>
      <c r="C60" s="1288">
        <v>34700</v>
      </c>
      <c r="D60" s="1287">
        <v>9</v>
      </c>
      <c r="E60" s="1287">
        <v>10.98</v>
      </c>
      <c r="F60" s="1287">
        <v>12.96</v>
      </c>
      <c r="G60" s="1287">
        <v>14.58</v>
      </c>
      <c r="H60" s="1287">
        <v>14.76</v>
      </c>
      <c r="I60" s="1287">
        <v>0</v>
      </c>
      <c r="J60" s="1287">
        <v>0</v>
      </c>
    </row>
    <row r="61" spans="2:26">
      <c r="B61" s="1287"/>
      <c r="C61" s="1288">
        <v>34161</v>
      </c>
      <c r="D61" s="1287">
        <v>9</v>
      </c>
      <c r="E61" s="1287">
        <v>10.98</v>
      </c>
      <c r="F61" s="1287">
        <v>12.24</v>
      </c>
      <c r="G61" s="1287">
        <v>13.86</v>
      </c>
      <c r="H61" s="1287">
        <v>14.04</v>
      </c>
      <c r="I61" s="1287">
        <v>0</v>
      </c>
      <c r="J61" s="1287">
        <v>0</v>
      </c>
    </row>
    <row r="62" spans="2:26">
      <c r="B62" s="1287"/>
      <c r="C62" s="1288">
        <v>34104</v>
      </c>
      <c r="D62" s="1287">
        <v>8.82</v>
      </c>
      <c r="E62" s="1287">
        <v>9.36</v>
      </c>
      <c r="F62" s="1287">
        <v>10.8</v>
      </c>
      <c r="G62" s="1287">
        <v>12.06</v>
      </c>
      <c r="H62" s="1287">
        <v>12.24</v>
      </c>
      <c r="I62" s="1287">
        <v>0</v>
      </c>
      <c r="J62" s="1287">
        <v>0</v>
      </c>
    </row>
    <row r="63" spans="2:26">
      <c r="B63" s="1287"/>
      <c r="C63" s="1288">
        <v>33349</v>
      </c>
      <c r="D63" s="1287">
        <v>8.1</v>
      </c>
      <c r="E63" s="1287">
        <v>8.64</v>
      </c>
      <c r="F63" s="1287">
        <v>9</v>
      </c>
      <c r="G63" s="1287">
        <v>9.5399999999999991</v>
      </c>
      <c r="H63" s="1287">
        <v>9.7200000000000006</v>
      </c>
      <c r="I63" s="1287">
        <v>0</v>
      </c>
      <c r="J63" s="1287">
        <v>0</v>
      </c>
    </row>
    <row r="64" spans="2:26">
      <c r="B64" s="1287"/>
      <c r="C64" s="1288">
        <v>33318</v>
      </c>
      <c r="D64" s="1287">
        <v>9</v>
      </c>
      <c r="E64" s="1287">
        <v>10.08</v>
      </c>
      <c r="F64" s="1287">
        <v>10.8</v>
      </c>
      <c r="G64" s="1287">
        <v>11.52</v>
      </c>
      <c r="H64" s="1287">
        <v>11.88</v>
      </c>
      <c r="I64" s="1287" t="s">
        <v>633</v>
      </c>
      <c r="J64" s="1287" t="s">
        <v>633</v>
      </c>
    </row>
    <row r="65" spans="2:10">
      <c r="B65" s="1287"/>
      <c r="C65" s="1288">
        <v>33106</v>
      </c>
      <c r="D65" s="1287">
        <v>8.64</v>
      </c>
      <c r="E65" s="1287">
        <v>9.36</v>
      </c>
      <c r="F65" s="1287">
        <v>10.08</v>
      </c>
      <c r="G65" s="1287">
        <v>10.8</v>
      </c>
      <c r="H65" s="1287">
        <v>11.16</v>
      </c>
      <c r="I65" s="1287">
        <v>0</v>
      </c>
      <c r="J65" s="1287">
        <v>0</v>
      </c>
    </row>
    <row r="66" spans="2:10">
      <c r="B66" s="1287"/>
      <c r="C66" s="1288">
        <v>32540</v>
      </c>
      <c r="D66" s="1287">
        <v>11.34</v>
      </c>
      <c r="E66" s="1287">
        <v>11.34</v>
      </c>
      <c r="F66" s="1287">
        <v>12.78</v>
      </c>
      <c r="G66" s="1287">
        <v>14.4</v>
      </c>
      <c r="H66" s="1287">
        <v>19.260000000000002</v>
      </c>
      <c r="I66" s="1287">
        <v>0</v>
      </c>
      <c r="J66" s="1287">
        <v>0</v>
      </c>
    </row>
    <row r="67" spans="2:10">
      <c r="B67" s="1287"/>
      <c r="C67" s="1288"/>
      <c r="D67" s="1287"/>
      <c r="E67" s="1287"/>
      <c r="F67" s="1287"/>
      <c r="G67" s="1287"/>
      <c r="H67" s="1287"/>
      <c r="I67" s="1287"/>
      <c r="J67" s="1287"/>
    </row>
    <row r="68" spans="2:10">
      <c r="B68" s="1290"/>
      <c r="C68" s="1291"/>
      <c r="D68" s="1290"/>
      <c r="E68" s="1290"/>
      <c r="F68" s="1290"/>
      <c r="G68" s="1290"/>
      <c r="H68" s="1290"/>
      <c r="I68" s="1290"/>
      <c r="J68" s="1290"/>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39"/>
      <c r="C71" s="1239"/>
      <c r="D71" s="1239"/>
      <c r="E71" s="1239"/>
      <c r="F71" s="1239"/>
      <c r="G71" s="1239"/>
      <c r="H71" s="1239"/>
      <c r="I71" s="1239"/>
      <c r="J71" s="1239"/>
    </row>
    <row r="72" spans="2:10">
      <c r="B72" s="1239"/>
      <c r="C72" s="1239"/>
      <c r="D72" s="1239"/>
      <c r="E72" s="1239"/>
      <c r="F72" s="1239"/>
      <c r="G72" s="1239"/>
      <c r="H72" s="1239"/>
      <c r="I72" s="1239"/>
      <c r="J72" s="123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4" customWidth="1"/>
    <col min="2" max="9" width="12.109375" style="1474" customWidth="1"/>
    <col min="10" max="16384" width="9" style="1474"/>
  </cols>
  <sheetData>
    <row r="1" spans="1:9" ht="18"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6">
      <c r="A3" s="3474"/>
      <c r="B3" s="3474"/>
      <c r="C3" s="3474"/>
      <c r="D3" s="852" t="s">
        <v>925</v>
      </c>
      <c r="E3" s="852" t="s">
        <v>931</v>
      </c>
      <c r="F3" s="852" t="s">
        <v>925</v>
      </c>
      <c r="G3" s="852" t="s">
        <v>926</v>
      </c>
      <c r="H3" s="852" t="s">
        <v>925</v>
      </c>
      <c r="I3" s="852" t="s">
        <v>926</v>
      </c>
    </row>
    <row r="4" spans="1:9" ht="15">
      <c r="A4" s="1502" t="str">
        <f>项目基本情况!S2</f>
        <v>北京市房地产</v>
      </c>
      <c r="B4" s="852">
        <f>项目基本情况!C17</f>
        <v>204.38</v>
      </c>
      <c r="C4" s="852">
        <f>项目基本情况!C18</f>
        <v>2229.4899999999998</v>
      </c>
      <c r="D4" s="852">
        <f ca="1">结果表!D118</f>
        <v>3909</v>
      </c>
      <c r="E4" s="852">
        <f ca="1">结果表!E118</f>
        <v>191261</v>
      </c>
      <c r="F4" s="852">
        <f ca="1">结果表!F118</f>
        <v>159</v>
      </c>
      <c r="G4" s="852">
        <f ca="1">结果表!G118</f>
        <v>7780</v>
      </c>
      <c r="H4" s="852">
        <f ca="1">结果表!H118</f>
        <v>4068</v>
      </c>
      <c r="I4" s="852">
        <f ca="1">结果表!I118</f>
        <v>199041</v>
      </c>
    </row>
    <row r="5" spans="1:9" ht="30" customHeight="1">
      <c r="A5" s="3474" t="s">
        <v>927</v>
      </c>
      <c r="B5" s="3474"/>
      <c r="C5" s="3474"/>
      <c r="D5" s="3474" t="str">
        <f ca="1">结果表!D119</f>
        <v>叁仟玖佰零玖万元整</v>
      </c>
      <c r="E5" s="3474"/>
      <c r="F5" s="3474" t="str">
        <f ca="1">结果表!F119</f>
        <v>壹佰伍拾玖万元整</v>
      </c>
      <c r="G5" s="3474"/>
      <c r="H5" s="3474" t="str">
        <f ca="1">结果表!H119</f>
        <v>肆仟零陆拾捌万元整</v>
      </c>
      <c r="I5" s="3474"/>
    </row>
    <row r="6" spans="1:9" ht="15.6">
      <c r="A6" s="3473" t="str">
        <f>结果表!A120</f>
        <v>估价师知悉的法定优先受偿款</v>
      </c>
      <c r="B6" s="3473"/>
      <c r="C6" s="3473"/>
      <c r="D6" s="3473">
        <f>结果表!D120</f>
        <v>0</v>
      </c>
      <c r="E6" s="3473"/>
      <c r="F6" s="3473"/>
      <c r="G6" s="3473"/>
      <c r="H6" s="3473"/>
      <c r="I6" s="3473"/>
    </row>
    <row r="7" spans="1:9" ht="15">
      <c r="A7" s="3474" t="s">
        <v>927</v>
      </c>
      <c r="B7" s="3474"/>
      <c r="C7" s="3474"/>
      <c r="D7" s="3475" t="str">
        <f>结果表!D121</f>
        <v>零元整</v>
      </c>
      <c r="E7" s="3476"/>
      <c r="F7" s="3476"/>
      <c r="G7" s="3476"/>
      <c r="H7" s="3476"/>
      <c r="I7" s="3477"/>
    </row>
    <row r="8" spans="1:9" ht="15.6">
      <c r="A8" s="3473" t="str">
        <f>结果表!A122</f>
        <v>房地产抵押价值</v>
      </c>
      <c r="B8" s="3473"/>
      <c r="C8" s="3473"/>
      <c r="D8" s="3473">
        <f ca="1">结果表!D122</f>
        <v>4068</v>
      </c>
      <c r="E8" s="3473"/>
      <c r="F8" s="3473"/>
      <c r="G8" s="3473"/>
      <c r="H8" s="3473"/>
      <c r="I8" s="3473"/>
    </row>
    <row r="9" spans="1:9" ht="15">
      <c r="A9" s="3474" t="s">
        <v>927</v>
      </c>
      <c r="B9" s="3474"/>
      <c r="C9" s="3474"/>
      <c r="D9" s="3474" t="str">
        <f ca="1">结果表!D123</f>
        <v>肆仟零陆拾捌万元整</v>
      </c>
      <c r="E9" s="3474"/>
      <c r="F9" s="3474"/>
      <c r="G9" s="3474"/>
      <c r="H9" s="3474"/>
      <c r="I9" s="3474"/>
    </row>
    <row r="10" spans="1:9" ht="15.6">
      <c r="A10" s="3473" t="str">
        <f>结果表!A124</f>
        <v/>
      </c>
      <c r="B10" s="3473"/>
      <c r="C10" s="3473"/>
      <c r="D10" s="3473" t="str">
        <f>结果表!D124</f>
        <v>——</v>
      </c>
      <c r="E10" s="3473"/>
      <c r="F10" s="3473"/>
      <c r="G10" s="3473"/>
      <c r="H10" s="3473"/>
      <c r="I10" s="3473"/>
    </row>
    <row r="11" spans="1:9" ht="15">
      <c r="A11" s="3474" t="s">
        <v>927</v>
      </c>
      <c r="B11" s="3474"/>
      <c r="C11" s="3474"/>
      <c r="D11" s="3474" t="e">
        <f>结果表!D125</f>
        <v>#VALUE!</v>
      </c>
      <c r="E11" s="3474"/>
      <c r="F11" s="3474"/>
      <c r="G11" s="3474"/>
      <c r="H11" s="3474"/>
      <c r="I11" s="3474"/>
    </row>
    <row r="12" spans="1:9" ht="15.6">
      <c r="A12" s="3473" t="str">
        <f>结果表!A126</f>
        <v/>
      </c>
      <c r="B12" s="3473"/>
      <c r="C12" s="3473"/>
      <c r="D12" s="3473" t="str">
        <f>结果表!D126</f>
        <v>——</v>
      </c>
      <c r="E12" s="3473"/>
      <c r="F12" s="3473"/>
      <c r="G12" s="3473"/>
      <c r="H12" s="3473"/>
      <c r="I12" s="3473"/>
    </row>
    <row r="13" spans="1:9" ht="15.6" thickBot="1">
      <c r="A13" s="3471" t="s">
        <v>927</v>
      </c>
      <c r="B13" s="3471"/>
      <c r="C13" s="3471"/>
      <c r="D13" s="3471" t="e">
        <f>结果表!D127</f>
        <v>#VALUE!</v>
      </c>
      <c r="E13" s="3471"/>
      <c r="F13" s="3471"/>
      <c r="G13" s="3471"/>
      <c r="H13" s="3471"/>
      <c r="I13" s="3471"/>
    </row>
    <row r="14" spans="1:9" ht="14.4" thickTop="1">
      <c r="A14" s="3472" t="s">
        <v>932</v>
      </c>
      <c r="B14" s="3472"/>
      <c r="C14" s="3472"/>
      <c r="D14" s="3472"/>
      <c r="E14" s="3472"/>
      <c r="F14" s="3472"/>
      <c r="G14" s="3472"/>
      <c r="H14" s="3472"/>
      <c r="I14" s="3472"/>
    </row>
    <row r="16" spans="1:9" ht="17.399999999999999">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4" customWidth="1"/>
    <col min="2" max="3" width="22.33203125" style="1474" customWidth="1"/>
    <col min="4" max="4" width="23" style="1474" customWidth="1"/>
    <col min="5" max="16384" width="9" style="1474"/>
  </cols>
  <sheetData>
    <row r="1" spans="1:4" ht="17.399999999999999">
      <c r="A1" s="3486" t="s">
        <v>949</v>
      </c>
      <c r="B1" s="3486"/>
      <c r="C1" s="3486"/>
      <c r="D1" s="3486"/>
    </row>
    <row r="2" spans="1:4" ht="17.399999999999999">
      <c r="A2" s="3487" t="s">
        <v>933</v>
      </c>
      <c r="B2" s="3487"/>
      <c r="C2" s="3487"/>
      <c r="D2" s="3487"/>
    </row>
    <row r="3" spans="1:4" ht="17.399999999999999">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7.399999999999999">
      <c r="A6" s="3487" t="s">
        <v>939</v>
      </c>
      <c r="B6" s="3487"/>
      <c r="C6" s="3487"/>
      <c r="D6" s="3487"/>
    </row>
    <row r="7" spans="1:4" ht="17.399999999999999">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7.399999999999999">
      <c r="A10" s="1513" t="s">
        <v>941</v>
      </c>
      <c r="B10" s="673"/>
      <c r="C10" s="673"/>
      <c r="D10" s="673"/>
    </row>
    <row r="11" spans="1:4" ht="30" customHeight="1">
      <c r="A11" s="3488" t="s">
        <v>942</v>
      </c>
      <c r="B11" s="3480"/>
      <c r="C11" s="3480"/>
      <c r="D11" s="3480"/>
    </row>
    <row r="12" spans="1:4" ht="15.6">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0" t="str">
        <f>IF(项目基本情况!B8="抵押","4.本次评估估价师所知悉的法定优先受偿款情况说明如下：","——")</f>
        <v>4.本次评估估价师所知悉的法定优先受偿款情况说明如下：</v>
      </c>
      <c r="B14" s="3485"/>
      <c r="C14" s="3485"/>
      <c r="D14" s="3485"/>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2" t="s">
        <v>943</v>
      </c>
      <c r="B16" s="3482"/>
      <c r="C16" s="3482"/>
      <c r="D16" s="3482"/>
    </row>
    <row r="17" spans="1:4" ht="144" customHeight="1">
      <c r="A17" s="3482" t="s">
        <v>944</v>
      </c>
      <c r="B17" s="3482"/>
      <c r="C17" s="3482"/>
      <c r="D17" s="3482"/>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945</v>
      </c>
      <c r="B22" s="3484"/>
      <c r="C22" s="3484"/>
      <c r="D22" s="3484"/>
    </row>
    <row r="23" spans="1:4">
      <c r="A23" s="1514"/>
      <c r="B23" s="1486"/>
      <c r="C23" s="1486"/>
      <c r="D23" s="1486"/>
    </row>
    <row r="24" spans="1:4">
      <c r="A24" s="1514"/>
      <c r="B24" s="1486"/>
      <c r="C24" s="1486"/>
      <c r="D24" s="1486"/>
    </row>
    <row r="25" spans="1:4" ht="17.399999999999999">
      <c r="A25" s="1515" t="s">
        <v>946</v>
      </c>
    </row>
    <row r="26" spans="1:4" ht="17.399999999999999">
      <c r="A26" s="1484"/>
    </row>
    <row r="27" spans="1:4" ht="17.399999999999999">
      <c r="A27" s="1484" t="s">
        <v>947</v>
      </c>
    </row>
    <row r="30" spans="1:4" ht="17.399999999999999">
      <c r="D30" s="1515" t="s">
        <v>948</v>
      </c>
    </row>
    <row r="31" spans="1:4" ht="13.5" customHeight="1">
      <c r="C31" s="3481">
        <v>42551</v>
      </c>
      <c r="D31" s="34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2" customWidth="1"/>
    <col min="3" max="10" width="12.44140625" style="1472" customWidth="1"/>
    <col min="11" max="16384" width="9" style="1472"/>
  </cols>
  <sheetData>
    <row r="1" spans="1:10" ht="17.399999999999999">
      <c r="A1" s="1505" t="s">
        <v>391</v>
      </c>
      <c r="B1" s="1516"/>
      <c r="C1" s="1516"/>
      <c r="D1" s="1516"/>
      <c r="E1" s="1516"/>
      <c r="F1" s="1516"/>
      <c r="G1" s="1516"/>
      <c r="H1" s="1516"/>
      <c r="I1" s="1516"/>
      <c r="J1" s="1516"/>
    </row>
    <row r="2" spans="1:10" ht="17.399999999999999">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2" customWidth="1"/>
    <col min="2" max="16384" width="14.44140625" style="1504"/>
  </cols>
  <sheetData>
    <row r="1" spans="1:7" s="1519" customFormat="1" ht="17.399999999999999">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4.4">
      <c r="A15" s="3494" t="s">
        <v>956</v>
      </c>
      <c r="B15" s="3489" t="s">
        <v>109</v>
      </c>
      <c r="C15" s="3490"/>
    </row>
    <row r="16" spans="1:7" ht="14.4">
      <c r="A16" s="3495"/>
      <c r="B16" s="3489" t="s">
        <v>42</v>
      </c>
      <c r="C16" s="3490"/>
    </row>
    <row r="17" spans="1:3" ht="14.4">
      <c r="A17" s="3495"/>
      <c r="B17" s="3492" t="s">
        <v>957</v>
      </c>
      <c r="C17" s="1529" t="s">
        <v>956</v>
      </c>
    </row>
    <row r="18" spans="1:3" ht="14.4">
      <c r="A18" s="3495"/>
      <c r="B18" s="3492"/>
      <c r="C18" s="1529" t="s">
        <v>958</v>
      </c>
    </row>
    <row r="19" spans="1:3" ht="14.4">
      <c r="A19" s="3495"/>
      <c r="B19" s="3492"/>
      <c r="C19" s="1529" t="s">
        <v>959</v>
      </c>
    </row>
    <row r="20" spans="1:3" ht="14.4">
      <c r="A20" s="3496"/>
      <c r="B20" s="3491" t="s">
        <v>960</v>
      </c>
      <c r="C20" s="3490"/>
    </row>
    <row r="21" spans="1:3" ht="14.4">
      <c r="A21" s="1530" t="s">
        <v>961</v>
      </c>
      <c r="B21" s="1531"/>
      <c r="C21" s="1532"/>
    </row>
    <row r="22" spans="1:3" ht="14.4">
      <c r="A22" s="3493" t="s">
        <v>962</v>
      </c>
      <c r="B22" s="3491" t="s">
        <v>963</v>
      </c>
      <c r="C22" s="3490"/>
    </row>
    <row r="23" spans="1:3" ht="14.4">
      <c r="A23" s="3493"/>
      <c r="B23" s="3491" t="s">
        <v>964</v>
      </c>
      <c r="C23" s="3490"/>
    </row>
    <row r="24" spans="1:3" ht="14.4">
      <c r="A24" s="3493"/>
      <c r="B24" s="3491" t="s">
        <v>965</v>
      </c>
      <c r="C24" s="3490"/>
    </row>
    <row r="25" spans="1:3" ht="14.4">
      <c r="A25" s="3493"/>
      <c r="B25" s="3492" t="s">
        <v>966</v>
      </c>
      <c r="C25" s="1529" t="s">
        <v>967</v>
      </c>
    </row>
    <row r="26" spans="1:3" ht="14.4">
      <c r="A26" s="3493"/>
      <c r="B26" s="3492"/>
      <c r="C26" s="1529" t="s">
        <v>968</v>
      </c>
    </row>
    <row r="27" spans="1:3" ht="14.4">
      <c r="A27" s="3493"/>
      <c r="B27" s="3492"/>
      <c r="C27" s="1529" t="s">
        <v>969</v>
      </c>
    </row>
    <row r="28" spans="1:3" ht="14.4">
      <c r="A28" s="3493"/>
      <c r="B28" s="3492"/>
      <c r="C28" s="1529" t="s">
        <v>970</v>
      </c>
    </row>
    <row r="29" spans="1:3" ht="14.4">
      <c r="A29" s="3493"/>
      <c r="B29" s="3492"/>
      <c r="C29" s="1529" t="s">
        <v>971</v>
      </c>
    </row>
    <row r="30" spans="1:3" ht="14.4">
      <c r="A30" s="3493"/>
      <c r="B30" s="3492"/>
      <c r="C30" s="1529" t="s">
        <v>972</v>
      </c>
    </row>
    <row r="31" spans="1:3" ht="14.4">
      <c r="A31" s="3493"/>
      <c r="B31" s="3492"/>
      <c r="C31" s="1529" t="s">
        <v>973</v>
      </c>
    </row>
    <row r="32" spans="1:3" ht="14.4">
      <c r="A32" s="3493"/>
      <c r="B32" s="3492"/>
      <c r="C32" s="1529" t="s">
        <v>974</v>
      </c>
    </row>
    <row r="33" spans="1:3" ht="14.4">
      <c r="A33" s="3493"/>
      <c r="B33" s="3492"/>
      <c r="C33" s="1529" t="s">
        <v>975</v>
      </c>
    </row>
    <row r="34" spans="1:3">
      <c r="A34" s="1533" t="s">
        <v>49</v>
      </c>
    </row>
    <row r="37" spans="1:3">
      <c r="A37" s="1533" t="s">
        <v>976</v>
      </c>
    </row>
    <row r="38" spans="1:3" ht="14.4">
      <c r="A38" s="1534" t="s">
        <v>50</v>
      </c>
    </row>
    <row r="39" spans="1:3" ht="14.4">
      <c r="A39" s="1534" t="s">
        <v>51</v>
      </c>
    </row>
    <row r="40" spans="1:3" ht="14.4">
      <c r="A40" s="1534" t="s">
        <v>52</v>
      </c>
    </row>
    <row r="41" spans="1:3" ht="14.4">
      <c r="A41" s="1535" t="s">
        <v>53</v>
      </c>
    </row>
    <row r="42" spans="1:3" ht="14.4">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4" customWidth="1"/>
    <col min="2" max="2" width="38.6640625" style="2334" customWidth="1"/>
    <col min="3" max="3" width="26" style="2334" customWidth="1"/>
    <col min="4" max="4" width="35" style="2334" hidden="1" customWidth="1"/>
    <col min="5" max="5" width="30.109375" style="2334" customWidth="1"/>
    <col min="6" max="6" width="35.44140625" style="2334" customWidth="1"/>
    <col min="7" max="7" width="31" style="2334" customWidth="1"/>
    <col min="8" max="8" width="37.44140625" style="2334" hidden="1" customWidth="1"/>
    <col min="9" max="16384" width="22.6640625" style="2334"/>
  </cols>
  <sheetData>
    <row r="1" spans="1:8" ht="24" customHeight="1">
      <c r="A1" s="2333"/>
      <c r="B1" s="2333"/>
      <c r="C1" s="2333"/>
      <c r="D1" s="2333"/>
      <c r="E1" s="2333"/>
      <c r="F1" s="2333"/>
      <c r="G1" s="2333"/>
      <c r="H1" s="2333"/>
    </row>
    <row r="2" spans="1:8" ht="24" customHeight="1">
      <c r="A2" s="2335" t="s">
        <v>2139</v>
      </c>
      <c r="B2" s="2336">
        <f ca="1">TODAY()</f>
        <v>44917</v>
      </c>
      <c r="C2" s="2337" t="s">
        <v>2140</v>
      </c>
      <c r="D2" s="2337"/>
      <c r="E2" s="2337"/>
      <c r="F2" s="2333"/>
      <c r="G2" s="2333"/>
      <c r="H2" s="2333"/>
    </row>
    <row r="3" spans="1:8" ht="24" customHeight="1">
      <c r="A3" s="2338" t="s">
        <v>2141</v>
      </c>
      <c r="B3" s="2339" t="s">
        <v>2142</v>
      </c>
      <c r="C3" s="2339" t="s">
        <v>2143</v>
      </c>
      <c r="D3" s="2340" t="s">
        <v>2144</v>
      </c>
      <c r="E3" s="2341" t="s">
        <v>2145</v>
      </c>
      <c r="F3" s="1301" t="s">
        <v>2146</v>
      </c>
      <c r="G3" s="2339" t="s">
        <v>2143</v>
      </c>
      <c r="H3" s="2340" t="s">
        <v>2147</v>
      </c>
    </row>
    <row r="4" spans="1:8" ht="24" customHeight="1">
      <c r="A4" s="1301" t="s">
        <v>2148</v>
      </c>
      <c r="B4" s="1301">
        <f ca="1">IF(C4&lt;B2,"已过期",1119970066)</f>
        <v>1119970066</v>
      </c>
      <c r="C4" s="2342">
        <v>45937</v>
      </c>
      <c r="D4" s="2343" t="str">
        <f ca="1">A4&amp;"（注册号："&amp;B4&amp;"）"</f>
        <v>梁津（注册号：1119970066）</v>
      </c>
      <c r="E4" s="2344" t="s">
        <v>2148</v>
      </c>
      <c r="F4" s="1301">
        <f ca="1">IF(G4&lt;B2,"已过期",96010014)</f>
        <v>96010014</v>
      </c>
      <c r="G4" s="2345">
        <v>47118</v>
      </c>
      <c r="H4" s="2346" t="str">
        <f ca="1">E4&amp;"（注册号："&amp;F4&amp;"）"</f>
        <v>梁津（注册号：96010014）</v>
      </c>
    </row>
    <row r="5" spans="1:8" ht="24" customHeight="1">
      <c r="A5" s="1301" t="s">
        <v>2149</v>
      </c>
      <c r="B5" s="1301">
        <f ca="1">IF(C5&lt;B2,"已过期",1119970111)</f>
        <v>1119970111</v>
      </c>
      <c r="C5" s="2342">
        <v>45937</v>
      </c>
      <c r="D5" s="2343" t="str">
        <f t="shared" ref="D5:D15" ca="1" si="0">A5&amp;"（注册号："&amp;B5&amp;"）"</f>
        <v>叶凌（注册号：1119970111）</v>
      </c>
      <c r="E5" s="2344" t="s">
        <v>2149</v>
      </c>
      <c r="F5" s="1301">
        <f ca="1">IF(G5&lt;B2,"已过期",94010078)</f>
        <v>94010078</v>
      </c>
      <c r="G5" s="2345">
        <v>46387</v>
      </c>
      <c r="H5" s="2346" t="str">
        <f t="shared" ref="H5:H16" ca="1" si="1">E5&amp;"（注册号："&amp;F5&amp;"）"</f>
        <v>叶凌（注册号：94010078）</v>
      </c>
    </row>
    <row r="6" spans="1:8" ht="24" customHeight="1">
      <c r="A6" s="1301" t="s">
        <v>2150</v>
      </c>
      <c r="B6" s="1301">
        <f ca="1">IF(C6&lt;B2,"已过期",1120050019)</f>
        <v>1120050019</v>
      </c>
      <c r="C6" s="2342">
        <v>45410</v>
      </c>
      <c r="D6" s="2343" t="str">
        <f t="shared" ca="1" si="0"/>
        <v>王鹏（注册号：1120050019）</v>
      </c>
      <c r="E6" s="2344" t="s">
        <v>2150</v>
      </c>
      <c r="F6" s="1301">
        <f ca="1">IF(G6&lt;B2,"已过期",2002110030)</f>
        <v>2002110030</v>
      </c>
      <c r="G6" s="2345">
        <v>46387</v>
      </c>
      <c r="H6" s="2346" t="str">
        <f t="shared" ca="1" si="1"/>
        <v>王鹏（注册号：2002110030）</v>
      </c>
    </row>
    <row r="7" spans="1:8" ht="24" customHeight="1">
      <c r="A7" s="1301" t="s">
        <v>2151</v>
      </c>
      <c r="B7" s="1301">
        <f ca="1">IF(C7&lt;B2,"已过期",1120000080)</f>
        <v>1120000080</v>
      </c>
      <c r="C7" s="2342">
        <v>45937</v>
      </c>
      <c r="D7" s="2343" t="str">
        <f t="shared" ca="1" si="0"/>
        <v>欧红伟（注册号：1120000080）</v>
      </c>
      <c r="E7" s="2344" t="s">
        <v>2151</v>
      </c>
      <c r="F7" s="1301">
        <f ca="1">IF(G7&lt;B2,"已过期",2000110082)</f>
        <v>2000110082</v>
      </c>
      <c r="G7" s="2345">
        <v>46387</v>
      </c>
      <c r="H7" s="2346" t="str">
        <f t="shared" ca="1" si="1"/>
        <v>欧红伟（注册号：2000110082）</v>
      </c>
    </row>
    <row r="8" spans="1:8" ht="24" customHeight="1">
      <c r="A8" s="1301" t="s">
        <v>2152</v>
      </c>
      <c r="B8" s="1301">
        <f ca="1">IF(C8&lt;B2,"已过期",1419970001)</f>
        <v>1419970001</v>
      </c>
      <c r="C8" s="2342">
        <v>45937</v>
      </c>
      <c r="D8" s="2343" t="str">
        <f t="shared" ca="1" si="0"/>
        <v>吴薇（注册号：1419970001）</v>
      </c>
      <c r="E8" s="2344" t="s">
        <v>2152</v>
      </c>
      <c r="F8" s="1301">
        <f ca="1">IF(G8&lt;B2,"已过期",2002110125)</f>
        <v>2002110125</v>
      </c>
      <c r="G8" s="2345">
        <v>47118</v>
      </c>
      <c r="H8" s="2346" t="str">
        <f t="shared" ca="1" si="1"/>
        <v>吴薇（注册号：2002110125）</v>
      </c>
    </row>
    <row r="9" spans="1:8" ht="24" customHeight="1">
      <c r="A9" s="1301" t="s">
        <v>2153</v>
      </c>
      <c r="B9" s="1301">
        <f ca="1">IF(C9&lt;B2,"已过期",1120060040)</f>
        <v>1120060040</v>
      </c>
      <c r="C9" s="2347">
        <v>45592</v>
      </c>
      <c r="D9" s="2343" t="str">
        <f t="shared" ca="1" si="0"/>
        <v>陈颖（注册号：1120060040）</v>
      </c>
      <c r="E9" s="2344" t="s">
        <v>2153</v>
      </c>
      <c r="F9" s="1301">
        <f ca="1">IF(G9&lt;B2,"已过期",2004110096)</f>
        <v>2004110096</v>
      </c>
      <c r="G9" s="2345">
        <v>47118</v>
      </c>
      <c r="H9" s="2346" t="str">
        <f t="shared" ca="1" si="1"/>
        <v>陈颖（注册号：2004110096）</v>
      </c>
    </row>
    <row r="10" spans="1:8" ht="24" customHeight="1">
      <c r="A10" s="1301" t="s">
        <v>2154</v>
      </c>
      <c r="B10" s="1301">
        <f ca="1">IF(C10&lt;B2,"已过期",1120100036)</f>
        <v>1120100036</v>
      </c>
      <c r="C10" s="2347">
        <v>45752</v>
      </c>
      <c r="D10" s="2343" t="str">
        <f t="shared" ca="1" si="0"/>
        <v>崔锴（注册号：1120100036）</v>
      </c>
      <c r="E10" s="2344" t="s">
        <v>2154</v>
      </c>
      <c r="F10" s="1301">
        <f ca="1">IF(G10&lt;B2,"已过期",2010110070)</f>
        <v>2010110070</v>
      </c>
      <c r="G10" s="2345">
        <v>47907</v>
      </c>
      <c r="H10" s="2346" t="str">
        <f t="shared" ca="1" si="1"/>
        <v>崔锴（注册号：2010110070）</v>
      </c>
    </row>
    <row r="11" spans="1:8" ht="24" customHeight="1">
      <c r="A11" s="1301" t="s">
        <v>2155</v>
      </c>
      <c r="B11" s="1301">
        <f ca="1">IF(C11&lt;B2,"已过期",1120070131)</f>
        <v>1120070131</v>
      </c>
      <c r="C11" s="2342">
        <v>45937</v>
      </c>
      <c r="D11" s="2343" t="str">
        <f t="shared" ca="1" si="0"/>
        <v>郑燚（注册号：1120070131）</v>
      </c>
      <c r="E11" s="2344" t="s">
        <v>2155</v>
      </c>
      <c r="F11" s="1301">
        <f ca="1">IF(G11&lt;B2,"已过期",2014110011)</f>
        <v>2014110011</v>
      </c>
      <c r="G11" s="2345">
        <v>49302</v>
      </c>
      <c r="H11" s="2346" t="str">
        <f t="shared" ca="1" si="1"/>
        <v>郑燚（注册号：2014110011）</v>
      </c>
    </row>
    <row r="12" spans="1:8" ht="24" customHeight="1">
      <c r="A12" s="1301" t="s">
        <v>2156</v>
      </c>
      <c r="B12" s="1301">
        <f ca="1">IF(C12&lt;B2,"已过期",1120040230)</f>
        <v>1120040230</v>
      </c>
      <c r="C12" s="2347">
        <v>45937</v>
      </c>
      <c r="D12" s="2343" t="str">
        <f t="shared" ca="1" si="0"/>
        <v>苏海（注册号：1120040230）</v>
      </c>
      <c r="E12" s="2344" t="s">
        <v>2156</v>
      </c>
      <c r="F12" s="1301">
        <f ca="1">IF(G12&lt;B2,"已过期",98030020)</f>
        <v>98030020</v>
      </c>
      <c r="G12" s="2345">
        <v>47118</v>
      </c>
      <c r="H12" s="2346" t="str">
        <f t="shared" ca="1" si="1"/>
        <v>苏海（注册号：98030020）</v>
      </c>
    </row>
    <row r="13" spans="1:8" ht="24" customHeight="1">
      <c r="A13" s="1301" t="s">
        <v>2157</v>
      </c>
      <c r="B13" s="1301">
        <f ca="1">IF(C13&lt;B2,"已过期",1120020033)</f>
        <v>1120020033</v>
      </c>
      <c r="C13" s="2342">
        <v>45375</v>
      </c>
      <c r="D13" s="2343" t="str">
        <f t="shared" ca="1" si="0"/>
        <v>刘敬东（注册号：1120020033）</v>
      </c>
      <c r="E13" s="2344" t="s">
        <v>2157</v>
      </c>
      <c r="F13" s="1301">
        <f ca="1">IF(G13&lt;B2,"已过期",2000110137)</f>
        <v>2000110137</v>
      </c>
      <c r="G13" s="2345">
        <v>46387</v>
      </c>
      <c r="H13" s="2346" t="str">
        <f t="shared" ca="1" si="1"/>
        <v>刘敬东（注册号：2000110137）</v>
      </c>
    </row>
    <row r="14" spans="1:8" ht="24" customHeight="1">
      <c r="A14" s="1301" t="s">
        <v>2158</v>
      </c>
      <c r="B14" s="1301">
        <f ca="1">IF(C14&lt;B2,"已过期",1119980106)</f>
        <v>1119980106</v>
      </c>
      <c r="C14" s="2347">
        <v>44969</v>
      </c>
      <c r="D14" s="2343" t="str">
        <f t="shared" ca="1" si="0"/>
        <v>刘俊财（注册号：1119980106）</v>
      </c>
      <c r="E14" s="2344" t="s">
        <v>2158</v>
      </c>
      <c r="F14" s="1301">
        <f ca="1">IF(G14&lt;B2,"已过期",96010063)</f>
        <v>96010063</v>
      </c>
      <c r="G14" s="2345">
        <v>47483</v>
      </c>
      <c r="H14" s="2346" t="str">
        <f t="shared" ca="1" si="1"/>
        <v>刘俊财（注册号：96010063）</v>
      </c>
    </row>
    <row r="15" spans="1:8" ht="24" customHeight="1">
      <c r="A15" s="1301" t="s">
        <v>2440</v>
      </c>
      <c r="B15" s="1301">
        <v>1120210056</v>
      </c>
      <c r="C15" s="2347">
        <v>45410</v>
      </c>
      <c r="D15" s="2343" t="str">
        <f t="shared" si="0"/>
        <v>宁小鳗（注册号：1120210056）</v>
      </c>
      <c r="E15" s="2344" t="s">
        <v>2159</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497" t="s">
        <v>2160</v>
      </c>
      <c r="B17" s="3497"/>
      <c r="C17" s="3497"/>
      <c r="D17" s="3497"/>
      <c r="E17" s="3497"/>
      <c r="F17" s="3497"/>
      <c r="G17" s="3497"/>
      <c r="H17" s="3497"/>
    </row>
    <row r="18" spans="1:8" ht="24" customHeight="1">
      <c r="A18" s="3498" t="s">
        <v>2161</v>
      </c>
      <c r="B18" s="3498"/>
      <c r="C18" s="3498"/>
      <c r="D18" s="2340"/>
      <c r="E18" s="3499" t="s">
        <v>2162</v>
      </c>
      <c r="F18" s="3498"/>
      <c r="G18" s="3498"/>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2441</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2017-03-01T09:15:43Z</cp:lastPrinted>
  <dcterms:created xsi:type="dcterms:W3CDTF">2015-07-13T07:17:23Z</dcterms:created>
  <dcterms:modified xsi:type="dcterms:W3CDTF">2022-12-22T06:46:54Z</dcterms:modified>
</cp:coreProperties>
</file>