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7" i="61"/>
  <c r="F4" i="61"/>
  <c r="D5" i="61"/>
  <c r="D3" i="61"/>
  <c r="F3" i="61"/>
  <c r="F6" i="61"/>
  <c r="D6"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6"/>
  <c r="E2" i="37"/>
  <c r="E2" i="33"/>
  <c r="C19" i="57"/>
  <c r="E2" i="35"/>
  <c r="E2" i="34"/>
  <c r="C20" i="57"/>
  <c r="E2" i="11"/>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C19" i="9"/>
  <c r="D20"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<sst xmlns="http://schemas.openxmlformats.org/spreadsheetml/2006/main" count="6943" uniqueCount="2942">
  <si>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</si>
  <si>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</si>
  <si>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</si>
  <si>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</si>
  <si>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</si>
  <si>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</si>
  <si>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</si>
  <si>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</si>
  <si>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</si>
  <si>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</si>
  <si>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</si>
  <si>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</si>
  <si>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</si>
  <si>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</si>
  <si>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</si>
  <si>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</si>
  <si>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</si>
  <si>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</si>
  <si>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</si>
  <si>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</si>
  <si>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</si>
  <si>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</si>
  <si>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</si>
  <si>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</si>
  <si>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</si>
  <si>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</si>
  <si>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</si>
  <si>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</si>
  <si>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</si>
  <si>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</si>
  <si>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</si>
  <si>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</si>
  <si>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</si>
  <si>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</si>
  <si>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</si>
  <si>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</si>
  <si>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</si>
  <si>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</si>
  <si>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</si>
  <si>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</si>
  <si>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</si>
  <si>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</si>
  <si>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</si>
  <si>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</si>
  <si>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</si>
  <si>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</si>
  <si>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</si>
  <si>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</si>
  <si>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</si>
  <si>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</si>
  <si>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</si>
  <si>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</si>
  <si>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</si>
  <si>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</si>
  <si>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</si>
  <si>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</si>
  <si>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</si>
  <si>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</si>
  <si>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</si>
  <si>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</si>
  <si>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</si>
  <si>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</si>
  <si>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</si>
  <si>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</si>
  <si>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</si>
  <si>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</si>
  <si>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</si>
  <si>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</si>
  <si>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</si>
  <si>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</si>
  <si>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</si>
  <si>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</si>
  <si>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</si>
  <si>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</si>
  <si>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</si>
  <si>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</si>
  <si>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</si>
  <si>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</si>
  <si>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</si>
  <si>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</si>
  <si>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</si>
  <si>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</si>
  <si>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</si>
  <si>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</si>
  <si>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</si>
  <si>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</si>
  <si>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</si>
  <si>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</si>
  <si>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</si>
  <si>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</si>
  <si>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</si>
  <si>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</si>
  <si>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</si>
  <si>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</si>
  <si>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</si>
  <si>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</si>
  <si>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</si>
  <si>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</si>
  <si>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</si>
  <si>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</si>
  <si>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</si>
  <si>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</si>
  <si>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</si>
  <si>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</si>
  <si>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</si>
  <si>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</si>
  <si>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</si>
  <si>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</si>
  <si>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</si>
  <si>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</si>
  <si>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</si>
  <si>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</si>
  <si>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</si>
  <si>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</si>
  <si>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</si>
  <si>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</si>
  <si>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</si>
  <si>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</si>
  <si>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</si>
  <si>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</si>
  <si>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</si>
  <si>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</si>
  <si>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</si>
  <si>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</si>
  <si>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</si>
  <si>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</si>
  <si>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</si>
  <si>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</si>
  <si>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</si>
  <si>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</si>
  <si>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</si>
  <si>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</si>
  <si>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</si>
  <si>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</si>
  <si>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</si>
  <si>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</si>
  <si>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</si>
  <si>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</si>
  <si>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</si>
  <si>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</si>
  <si>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</si>
  <si>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</si>
  <si>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</si>
  <si>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</si>
  <si>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</si>
  <si>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</si>
  <si>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</si>
  <si>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</si>
  <si>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</si>
  <si>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</si>
  <si>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</si>
  <si>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</si>
  <si>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</si>
  <si>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</si>
  <si>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</si>
  <si>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</si>
  <si>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</si>
  <si>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</si>
  <si>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</si>
  <si>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</si>
  <si>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</si>
  <si>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</si>
  <si>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</si>
  <si>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</si>
  <si>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</si>
  <si>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</si>
  <si>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</si>
  <si>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</si>
  <si>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</si>
  <si>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</si>
  <si>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</si>
  <si>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</si>
  <si>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</si>
  <si>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</si>
  <si>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</si>
  <si>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</si>
  <si>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</si>
  <si>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</si>
  <si>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</si>
  <si>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</si>
  <si>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</si>
  <si>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</si>
  <si>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</si>
  <si>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</si>
  <si>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</si>
  <si>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</si>
  <si>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</si>
  <si>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</si>
  <si>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</si>
  <si>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</si>
  <si>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</si>
  <si>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</si>
  <si>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</si>
  <si>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</si>
  <si>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</si>
  <si>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</si>
  <si>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</si>
  <si>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</si>
  <si>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</si>
  <si>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</si>
  <si>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</si>
  <si>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</si>
  <si>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</si>
  <si>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</si>
  <si>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</si>
  <si>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</si>
  <si>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</si>
  <si>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</si>
  <si>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</si>
  <si>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</si>
  <si>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</si>
  <si>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</si>
  <si>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</si>
  <si>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</si>
  <si>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</si>
  <si>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</si>
  <si>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</si>
  <si>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</si>
  <si>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</si>
  <si>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</si>
  <si>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</si>
  <si>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</si>
  <si>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</si>
  <si>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</si>
  <si>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</si>
  <si>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</si>
  <si>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</si>
  <si>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</si>
  <si>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</si>
  <si>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</si>
  <si>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</si>
  <si>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</si>
  <si>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</si>
  <si>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</si>
  <si>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</si>
  <si>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</si>
  <si>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</si>
  <si>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</si>
  <si>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</si>
  <si>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</si>
  <si>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</si>
  <si>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</si>
  <si>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</si>
  <si>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</si>
  <si>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</si>
  <si>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</si>
  <si>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</si>
  <si>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</si>
  <si>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</si>
  <si>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</si>
  <si>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</si>
  <si>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</si>
  <si>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</si>
  <si>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</si>
  <si>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</si>
  <si>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</si>
  <si>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</si>
  <si>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</si>
  <si>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</si>
  <si>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</si>
  <si>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</si>
  <si>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</si>
  <si>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</si>
  <si>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</si>
  <si>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</si>
  <si>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</si>
  <si>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</si>
  <si>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</si>
  <si>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</si>
  <si>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</si>
  <si>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</si>
  <si>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</si>
  <si>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</si>
  <si>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</si>
  <si>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</si>
  <si>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</si>
  <si>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</si>
  <si>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</si>
  <si>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</si>
  <si>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</si>
  <si>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</si>
  <si>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</si>
  <si>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</si>
  <si>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</si>
  <si>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</si>
  <si>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</si>
  <si>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</si>
  <si>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</si>
  <si>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</si>
  <si>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</si>
  <si>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</si>
  <si>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</si>
  <si>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</si>
  <si>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</si>
  <si>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</si>
  <si>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</si>
  <si>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</si>
  <si>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</si>
  <si>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</si>
  <si>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</si>
  <si>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</si>
  <si>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</si>
  <si>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</si>
  <si>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</si>
  <si>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</si>
  <si>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</si>
  <si>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</si>
  <si>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</si>
  <si>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</si>
  <si>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</si>
  <si>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</si>
  <si>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</si>
  <si>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</si>
  <si>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</si>
  <si>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</si>
  <si>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</si>
  <si>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</si>
  <si>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</si>
  <si>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</si>
  <si>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</si>
  <si>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</si>
  <si>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</si>
  <si>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</si>
  <si>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</si>
  <si>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</si>
  <si>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</si>
  <si>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</si>
  <si>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</si>
  <si>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</si>
  <si>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</si>
  <si>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</si>
  <si>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</si>
  <si>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</si>
  <si>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</si>
  <si>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</si>
  <si>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</si>
  <si>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</si>
  <si>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</si>
  <si>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</si>
  <si>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</si>
  <si>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</si>
  <si>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</si>
  <si>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</si>
  <si>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</si>
  <si>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</si>
  <si>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</si>
  <si>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</si>
  <si>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</si>
  <si>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</si>
  <si>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</si>
  <si>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</si>
  <si>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</si>
  <si>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</si>
  <si>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</si>
  <si>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</si>
  <si>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</si>
  <si>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</si>
  <si>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</si>
  <si>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</si>
  <si>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</si>
  <si>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</si>
  <si>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</si>
  <si>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</si>
  <si>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</si>
  <si>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</si>
  <si>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</si>
  <si>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</si>
  <si>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</si>
  <si>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</si>
  <si>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</si>
  <si>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</si>
  <si>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</si>
  <si>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</si>
  <si>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</si>
  <si>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</si>
  <si>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</si>
  <si>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</si>
  <si>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</si>
  <si>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</si>
  <si>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</si>
  <si>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</si>
  <si>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</si>
  <si>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</si>
  <si>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</si>
  <si>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</si>
  <si>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</si>
  <si>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</si>
  <si>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</si>
  <si>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</si>
  <si>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</si>
  <si>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</si>
  <si>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</si>
  <si>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</si>
  <si>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</si>
  <si>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</si>
  <si>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</si>
  <si>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</si>
  <si>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</si>
  <si>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</si>
  <si>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</si>
  <si>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</si>
  <si>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</si>
  <si>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</si>
  <si>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</si>
  <si>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</si>
  <si>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</si>
  <si>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</si>
  <si>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</si>
  <si>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</si>
  <si>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</si>
  <si>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</si>
  <si>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</si>
  <si>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</si>
  <si>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</si>
  <si>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</si>
  <si>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</si>
  <si>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</si>
  <si>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</si>
  <si>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</si>
  <si>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</si>
  <si>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</si>
  <si>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</si>
  <si>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</si>
  <si>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</si>
  <si>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</si>
  <si>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</si>
  <si>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</si>
  <si>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</si>
  <si>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</si>
  <si>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</si>
  <si>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</si>
  <si>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</si>
  <si>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</si>
  <si>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</si>
  <si>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</si>
  <si>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</si>
  <si>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</si>
  <si>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</si>
  <si>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</si>
  <si>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</si>
  <si>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</si>
  <si>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</si>
  <si>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</si>
  <si>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</si>
  <si>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</si>
  <si>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</si>
  <si>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</si>
  <si>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</si>
  <si>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</si>
  <si>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</si>
  <si>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</si>
  <si>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</si>
  <si>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</si>
  <si>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</si>
  <si>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</si>
  <si>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</si>
  <si>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</si>
  <si>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</si>
  <si>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</si>
  <si>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</si>
  <si>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</si>
  <si>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</si>
  <si>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</si>
  <si>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</si>
  <si>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</si>
  <si>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</si>
  <si>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</si>
  <si>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</si>
  <si>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</si>
  <si>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</si>
  <si>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</si>
  <si>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</si>
  <si>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</si>
  <si>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</si>
  <si>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</si>
  <si>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</si>
  <si>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</si>
  <si>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</si>
  <si>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</si>
  <si>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</si>
  <si>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</si>
  <si>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</si>
  <si>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</si>
  <si>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</si>
  <si>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</si>
  <si>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</si>
  <si>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</si>
  <si>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</si>
  <si>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</si>
  <si>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</si>
  <si>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</si>
  <si>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</si>
  <si>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</si>
  <si>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</si>
  <si>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</si>
  <si>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</si>
  <si>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</si>
  <si>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</si>
  <si>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</si>
  <si>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</si>
  <si>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</si>
  <si>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</si>
  <si>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</si>
  <si>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</si>
  <si>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</si>
  <si>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</si>
  <si>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</si>
  <si>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</si>
  <si>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</si>
  <si>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</si>
  <si>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</si>
  <si>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</si>
  <si>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</si>
  <si>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</si>
  <si>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</si>
  <si>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</si>
  <si>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</si>
  <si>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</si>
  <si>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</si>
  <si>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</si>
  <si>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</si>
  <si>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</si>
  <si>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</si>
  <si>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</si>
  <si>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</si>
  <si>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</si>
  <si>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</si>
  <si>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</si>
  <si>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</si>
  <si>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</si>
  <si>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</si>
  <si>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</si>
  <si>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</si>
  <si>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</si>
  <si>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</si>
  <si>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</si>
  <si>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</si>
  <si>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</si>
  <si>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</si>
  <si>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</si>
  <si>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</si>
  <si>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</si>
  <si>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</si>
  <si>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</si>
  <si>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</si>
  <si>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</si>
  <si>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</si>
  <si>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</si>
  <si>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</si>
  <si>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</si>
  <si>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</si>
  <si>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</si>
  <si>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</si>
  <si>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</si>
  <si>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</si>
  <si>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</si>
  <si>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</si>
  <si>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</si>
  <si>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</si>
  <si>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</si>
  <si>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</si>
  <si>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</si>
  <si>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</si>
  <si>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</si>
  <si>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</si>
  <si>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</si>
  <si>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</si>
  <si>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</si>
  <si>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</si>
  <si>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</si>
  <si>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</si>
  <si>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</si>
  <si>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</si>
  <si>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</si>
  <si>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</si>
  <si>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</si>
  <si>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</si>
  <si>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</si>
  <si>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</si>
  <si>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</si>
  <si>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</si>
  <si>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</si>
  <si>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</si>
  <si>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</si>
  <si>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</si>
  <si>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</si>
  <si>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</si>
  <si>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</si>
  <si>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</si>
  <si>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</si>
  <si>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</si>
  <si>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</si>
  <si>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</si>
  <si>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</si>
  <si>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</si>
  <si>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</si>
  <si>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</si>
  <si>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</si>
  <si>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</si>
  <si>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</si>
  <si>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</si>
  <si>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</si>
  <si>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</si>
  <si>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</si>
  <si>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</si>
  <si>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</si>
  <si>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</si>
  <si>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</si>
  <si>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</si>
  <si>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</si>
  <si>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</si>
  <si>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</si>
  <si>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</si>
  <si>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</si>
  <si>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</si>
  <si>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</si>
  <si>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</si>
  <si>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</si>
  <si>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</si>
  <si>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</si>
  <si>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</si>
  <si>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</si>
  <si>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</si>
  <si>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</si>
  <si>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</si>
  <si>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</si>
  <si>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</si>
  <si>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</si>
  <si>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</si>
  <si>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</si>
  <si>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</si>
  <si>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</si>
  <si>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</si>
  <si>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</si>
  <si>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</si>
  <si>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</si>
  <si>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</si>
  <si>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</si>
  <si>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</si>
  <si>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</si>
  <si>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</si>
  <si>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</si>
  <si>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</si>
  <si>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</si>
  <si>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</si>
  <si>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</si>
  <si>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</si>
  <si>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</si>
  <si>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</si>
  <si>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</si>
  <si>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</si>
  <si>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</si>
  <si>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</si>
  <si>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</si>
  <si>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</si>
  <si>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</si>
  <si>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</si>
  <si>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</si>
  <si>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</si>
  <si>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</si>
  <si>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</si>
  <si>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</si>
  <si>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</si>
  <si>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</si>
  <si>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</si>
  <si>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</si>
  <si>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</si>
  <si>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</si>
  <si>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</si>
  <si>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</si>
  <si>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</si>
  <si>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</si>
  <si>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</si>
  <si>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</si>
  <si>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</si>
  <si>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</si>
  <si>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</si>
  <si>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</si>
  <si>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</si>
  <si>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</si>
  <si>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</si>
  <si>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</si>
  <si>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</si>
  <si>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</si>
  <si>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</si>
  <si>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</si>
  <si>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</si>
  <si>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</si>
  <si>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</si>
  <si>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</si>
  <si>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</si>
  <si>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</si>
  <si>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</si>
  <si>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</si>
  <si>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</si>
  <si>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</si>
  <si>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</si>
  <si>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</si>
  <si>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</si>
  <si>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</si>
  <si>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</si>
  <si>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</si>
  <si>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</si>
  <si>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</si>
  <si>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</si>
  <si>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</si>
  <si>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</si>
  <si>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</si>
  <si>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</si>
  <si>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</si>
  <si>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</si>
  <si>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</si>
  <si>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</si>
  <si>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</si>
  <si>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</si>
  <si>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</si>
  <si>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</si>
  <si>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</si>
  <si>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</si>
  <si>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</si>
  <si>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</si>
  <si>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</si>
  <si>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</si>
  <si>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</si>
  <si>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</si>
  <si>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</si>
  <si>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</si>
  <si>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</si>
  <si>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</si>
  <si>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</si>
  <si>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</si>
  <si>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</si>
  <si>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</si>
  <si>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</si>
  <si>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</si>
  <si>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</si>
  <si>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</si>
  <si>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</si>
  <si>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</si>
  <si>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</si>
  <si>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</si>
  <si>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</si>
  <si>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</si>
  <si>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</si>
  <si>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</si>
  <si>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</si>
  <si>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</si>
  <si>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</si>
  <si>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</si>
  <si>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</si>
  <si>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</si>
  <si>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</si>
  <si>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</si>
  <si>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</si>
  <si>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</si>
  <si>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</si>
  <si>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</si>
  <si>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</si>
  <si>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</si>
  <si>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</si>
  <si>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</si>
  <si>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</si>
  <si>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</si>
  <si>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</si>
  <si>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</si>
  <si>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</si>
  <si>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</si>
  <si>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</si>
  <si>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</si>
  <si>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</si>
  <si>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</si>
  <si>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</si>
  <si>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</si>
  <si>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</si>
  <si>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</si>
  <si>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</si>
  <si>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</si>
  <si>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</si>
  <si>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</si>
  <si>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</si>
  <si>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</si>
  <si>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</si>
  <si>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</si>
  <si>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</si>
  <si>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</si>
  <si>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</si>
  <si>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</si>
  <si>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</si>
  <si>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</si>
  <si>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</si>
  <si>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</si>
  <si>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</si>
  <si>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</si>
  <si>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</si>
  <si>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</si>
  <si>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</si>
  <si>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</si>
  <si>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</si>
  <si>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</si>
  <si>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</si>
  <si>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</si>
  <si>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</si>
  <si>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</si>
  <si>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</si>
  <si>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</si>
  <si>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</si>
  <si>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</si>
  <si>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</si>
  <si>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</si>
  <si>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</si>
  <si>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</si>
  <si>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</si>
  <si>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</si>
  <si>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</si>
  <si>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</si>
  <si>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</si>
  <si>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</si>
  <si>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</si>
  <si>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</si>
  <si>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</si>
  <si>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</si>
  <si>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</si>
  <si>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</si>
  <si>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</si>
  <si>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</si>
  <si>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</si>
  <si>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</si>
  <si>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</si>
  <si>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</si>
  <si>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</si>
  <si>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</si>
  <si>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</si>
  <si>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</si>
  <si>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</si>
  <si>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</si>
  <si>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</si>
  <si>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</si>
  <si>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</si>
  <si>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</si>
  <si>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</si>
  <si>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</si>
  <si>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</si>
  <si>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</si>
  <si>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</si>
  <si>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</si>
  <si>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</si>
  <si>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</si>
  <si>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</si>
  <si>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</si>
  <si>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</si>
  <si>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</si>
  <si>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</si>
  <si>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</si>
  <si>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</si>
  <si>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</si>
  <si>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</si>
  <si>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</si>
  <si>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</si>
  <si>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</si>
  <si>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</si>
  <si>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</si>
  <si>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</si>
  <si>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</si>
  <si>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</si>
  <si>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</si>
  <si>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</si>
  <si>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</si>
  <si>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</si>
  <si>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</si>
  <si>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</si>
  <si>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</si>
  <si>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</si>
  <si>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</si>
  <si>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</si>
  <si>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</si>
  <si>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</si>
  <si>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</si>
  <si>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</si>
  <si>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</si>
  <si>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</si>
  <si>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</si>
  <si>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</si>
  <si>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</si>
  <si>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</si>
  <si>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</si>
  <si>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</si>
  <si>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</si>
  <si>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</si>
  <si>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</si>
  <si>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</si>
  <si>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</si>
  <si>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</si>
  <si>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</si>
  <si>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</si>
  <si>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</si>
  <si>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</si>
  <si>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</si>
  <si>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</si>
  <si>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</si>
  <si>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</si>
  <si>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</si>
  <si>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</si>
  <si>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</si>
  <si>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</si>
  <si>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</si>
  <si>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</si>
  <si>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</si>
  <si>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</si>
  <si>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</si>
  <si>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</si>
  <si>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</si>
  <si>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</si>
  <si>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</si>
  <si>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</si>
  <si>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</si>
  <si>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</si>
  <si>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</si>
  <si>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</si>
  <si>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</si>
  <si>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</si>
  <si>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</si>
  <si>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</si>
  <si>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</si>
  <si>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</si>
  <si>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</si>
  <si>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</si>
  <si>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</si>
  <si>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</si>
  <si>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</si>
  <si>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</si>
  <si>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</si>
  <si>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</si>
  <si>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</si>
  <si>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</si>
  <si>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</si>
  <si>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</si>
  <si>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</si>
  <si>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</si>
  <si>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</si>
  <si>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</si>
  <si>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</si>
  <si>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</si>
  <si>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</si>
  <si>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</si>
  <si>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</si>
  <si>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</si>
  <si>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</si>
  <si>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</si>
  <si>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</si>
  <si>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</si>
  <si>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</si>
  <si>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</si>
  <si>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</si>
  <si>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</si>
  <si>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</si>
  <si>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</si>
  <si>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</si>
  <si>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</si>
  <si>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</si>
  <si>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</si>
  <si>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</si>
  <si>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</si>
  <si>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</si>
  <si>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</si>
  <si>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</si>
  <si>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</si>
  <si>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</si>
  <si>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</si>
  <si>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</si>
  <si>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</si>
  <si>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</si>
  <si>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</si>
  <si>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</si>
  <si>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</si>
  <si>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</si>
  <si>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</si>
  <si>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</si>
  <si>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</si>
  <si>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</si>
  <si>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</si>
  <si>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</si>
  <si>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</si>
  <si>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</si>
  <si>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</si>
  <si>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</si>
  <si>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</si>
  <si>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</si>
  <si>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</si>
  <si>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</si>
  <si>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</si>
  <si>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</si>
  <si>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</si>
  <si>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</si>
  <si>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</si>
  <si>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</si>
  <si>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</si>
  <si>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</si>
  <si>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</si>
  <si>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</si>
  <si>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</si>
  <si>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</si>
  <si>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</si>
  <si>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</si>
  <si>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</si>
  <si>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</si>
  <si>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</si>
  <si>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</si>
  <si>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</si>
  <si>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</si>
  <si>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</si>
  <si>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</si>
  <si>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</si>
  <si>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</si>
  <si>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</si>
  <si>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</si>
  <si>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</si>
  <si>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</si>
  <si>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</si>
  <si>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</si>
  <si>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</si>
  <si>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</si>
  <si>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</si>
  <si>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</si>
  <si>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</si>
  <si>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</si>
  <si>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</si>
  <si>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</si>
  <si>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</si>
  <si>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</si>
  <si>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</si>
  <si>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</si>
  <si>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</si>
  <si>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</si>
  <si>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</si>
  <si>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</si>
  <si>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</si>
  <si>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</si>
  <si>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</si>
  <si>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</si>
  <si>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</si>
  <si>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</si>
  <si>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</si>
  <si>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</si>
  <si>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</si>
  <si>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</si>
  <si>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</si>
  <si>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</si>
  <si>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</si>
  <si>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</si>
  <si>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</si>
  <si>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</si>
  <si>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</si>
  <si>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</si>
  <si>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</si>
  <si>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</si>
  <si>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</si>
  <si>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</si>
  <si>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</si>
  <si>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</si>
  <si>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</si>
  <si>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</si>
  <si>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</si>
  <si>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</si>
  <si>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</si>
  <si>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</si>
  <si>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</si>
  <si>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</si>
  <si>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</si>
  <si>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</si>
  <si>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</si>
  <si>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</si>
  <si>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</si>
  <si>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</si>
  <si>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</si>
  <si>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</si>
  <si>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</si>
  <si>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</si>
  <si>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</si>
  <si>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</si>
  <si>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</si>
  <si>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</si>
  <si>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</si>
  <si>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</si>
  <si>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</si>
  <si>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</si>
  <si>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</si>
  <si>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</si>
  <si>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</si>
  <si>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</si>
  <si>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</si>
  <si>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</si>
  <si>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</si>
  <si>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</si>
  <si>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</si>
  <si>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</si>
  <si>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</si>
  <si>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</si>
  <si>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</si>
  <si>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</si>
  <si>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</si>
  <si>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</si>
  <si>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</si>
  <si>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</si>
  <si>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</si>
  <si>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</si>
  <si>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</si>
  <si>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</si>
  <si>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</si>
  <si>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</si>
  <si>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</si>
  <si>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</si>
  <si>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</si>
  <si>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</si>
  <si>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</si>
  <si>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</si>
  <si>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</si>
  <si>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</si>
  <si>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</si>
  <si>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</si>
  <si>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</si>
  <si>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</si>
  <si>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</si>
  <si>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</si>
  <si>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</si>
  <si>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</si>
  <si>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</si>
  <si>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</si>
  <si>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</si>
  <si>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</si>
  <si>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</si>
  <si>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</si>
  <si>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</si>
  <si>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</si>
  <si>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</si>
  <si>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</si>
  <si>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</si>
  <si>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</si>
  <si>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</si>
  <si>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</si>
  <si>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</si>
  <si>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</si>
  <si>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</si>
  <si>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</si>
  <si>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</si>
  <si>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</si>
  <si>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</si>
  <si>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</si>
  <si>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</si>
  <si>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</si>
  <si>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</si>
  <si>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</si>
  <si>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</si>
  <si>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</si>
  <si>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</si>
  <si>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</si>
  <si>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</si>
  <si>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</si>
  <si>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</si>
  <si>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</si>
  <si>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</si>
  <si>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</si>
  <si>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</si>
  <si>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</si>
  <si>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</si>
  <si>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</si>
  <si>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</si>
  <si>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</si>
  <si>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</si>
  <si>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</si>
  <si>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</si>
  <si>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</si>
  <si>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</si>
  <si>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</si>
  <si>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</si>
  <si>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</si>
  <si>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</si>
  <si>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</si>
  <si>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</si>
  <si>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</si>
  <si>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</si>
  <si>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</si>
  <si>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</si>
  <si>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</si>
  <si>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</si>
  <si>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</si>
  <si>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</si>
  <si>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</si>
  <si>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</si>
  <si>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</si>
  <si>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</si>
  <si>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</si>
  <si>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</si>
  <si>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</si>
  <si>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</si>
  <si>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</si>
  <si>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</si>
  <si>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</si>
  <si>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</si>
  <si>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</si>
  <si>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</si>
  <si>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</si>
  <si>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</si>
  <si>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</si>
  <si>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</si>
  <si>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</si>
  <si>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</si>
  <si>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</si>
  <si>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</si>
  <si>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</si>
  <si>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</si>
  <si>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</si>
  <si>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</si>
  <si>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</si>
  <si>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</si>
  <si>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</si>
  <si>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</si>
  <si>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</si>
  <si>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</si>
  <si>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</si>
  <si>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</si>
  <si>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</si>
  <si>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</si>
  <si>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</si>
  <si>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</si>
  <si>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</si>
  <si>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</si>
  <si>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</si>
  <si>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</si>
  <si>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</si>
  <si>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</si>
  <si>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</si>
  <si>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</si>
  <si>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</si>
  <si>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</si>
  <si>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</si>
  <si>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</si>
  <si>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</si>
  <si>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</si>
  <si>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</si>
  <si>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</si>
  <si>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</si>
  <si>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</si>
  <si>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</si>
  <si>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</si>
  <si>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</si>
  <si>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</si>
  <si>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</si>
  <si>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</si>
  <si>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</si>
  <si>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</si>
  <si>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</si>
  <si>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</si>
  <si>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</si>
  <si>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</si>
  <si>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</si>
  <si>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</si>
  <si>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</si>
  <si>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</si>
  <si>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</si>
  <si>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</si>
  <si>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</si>
  <si>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</si>
  <si>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</si>
  <si>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</si>
  <si>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</si>
  <si>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</si>
  <si>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</si>
  <si>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</si>
  <si>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</si>
  <si>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</si>
  <si>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</si>
  <si>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</si>
  <si>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</si>
  <si>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</si>
  <si>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</si>
  <si>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</si>
  <si>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</si>
  <si>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</si>
  <si>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</si>
  <si>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</si>
  <si>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</si>
  <si>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</si>
  <si>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</si>
  <si>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</si>
  <si>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</si>
  <si>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</si>
  <si>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</si>
  <si>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</si>
  <si>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</si>
  <si>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</si>
  <si>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</si>
  <si>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</si>
  <si>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</si>
  <si>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</si>
  <si>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</si>
  <si>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</si>
  <si>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</si>
  <si>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</si>
  <si>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</si>
  <si>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</si>
  <si>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</si>
  <si>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</si>
  <si>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</si>
  <si>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</si>
  <si>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</si>
  <si>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</si>
  <si>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</si>
  <si>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</si>
  <si>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</si>
  <si>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</si>
  <si>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</si>
  <si>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</si>
  <si>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</si>
  <si>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</si>
  <si>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</si>
  <si>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</si>
  <si>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</si>
  <si>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</si>
  <si>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</si>
  <si>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</si>
  <si>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</si>
  <si>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</si>
  <si>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</si>
  <si>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</si>
  <si>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</si>
  <si>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</si>
  <si>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</si>
  <si>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</si>
  <si>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</si>
  <si>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</si>
  <si>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</si>
  <si>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</si>
  <si>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</si>
  <si>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</si>
  <si>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</si>
  <si>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</si>
  <si>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</si>
  <si>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</si>
  <si>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</si>
  <si>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</si>
  <si>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</si>
  <si>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</si>
  <si>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</si>
  <si>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</si>
  <si>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</si>
  <si>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</si>
  <si>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</si>
  <si>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</si>
  <si>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</si>
  <si>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</si>
  <si>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</si>
  <si>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</si>
  <si>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</si>
  <si>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</si>
  <si>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</si>
  <si>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</si>
  <si>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</si>
  <si>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</si>
  <si>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</si>
  <si>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</si>
  <si>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</si>
  <si>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</si>
  <si>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</si>
  <si>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</si>
  <si>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</si>
  <si>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</si>
  <si>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</si>
  <si>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</si>
  <si>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</si>
  <si>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</si>
  <si>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</si>
  <si>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</si>
  <si>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</si>
  <si>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</si>
  <si>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</si>
  <si>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</si>
  <si>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</si>
  <si>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</si>
  <si>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</si>
  <si>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</si>
  <si>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</si>
  <si>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</si>
  <si>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</si>
  <si>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</si>
  <si>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</si>
  <si>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</si>
  <si>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</si>
  <si>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</si>
  <si>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</si>
  <si>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</si>
  <si>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</si>
  <si>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</si>
  <si>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</si>
  <si>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</si>
  <si>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</si>
  <si>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</si>
  <si>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</si>
  <si>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</si>
  <si>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</si>
  <si>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</si>
  <si>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</si>
  <si>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</si>
  <si>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</si>
  <si>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</si>
  <si>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</si>
  <si>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</si>
  <si>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</si>
  <si>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</si>
  <si>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</si>
  <si>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</si>
  <si>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</si>
  <si>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</si>
  <si>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</si>
  <si>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</si>
  <si>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</si>
  <si>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</si>
  <si>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</si>
  <si>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</si>
  <si>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</si>
  <si>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</si>
  <si>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</si>
  <si>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</si>
  <si>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</si>
  <si>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</si>
  <si>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</si>
  <si>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</si>
  <si>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</si>
  <si>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</si>
  <si>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</si>
  <si>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</si>
  <si>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</si>
  <si>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</si>
  <si>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</si>
  <si>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</si>
  <si>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</si>
  <si>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</si>
  <si>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</si>
  <si>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</si>
  <si>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</si>
  <si>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</si>
  <si>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</si>
  <si>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</si>
  <si>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</si>
  <si>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</si>
  <si>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</si>
  <si>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</si>
  <si>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</si>
  <si>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</si>
  <si>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</si>
  <si>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</si>
  <si>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</si>
  <si>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</si>
  <si>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</si>
  <si>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</si>
  <si>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</si>
  <si>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</si>
  <si>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</si>
  <si>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</si>
  <si>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</si>
  <si>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</si>
  <si>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</si>
  <si>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</si>
  <si>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</si>
  <si>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</si>
  <si>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</si>
  <si>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</si>
  <si>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</si>
  <si>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</si>
  <si>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</si>
  <si>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</si>
  <si>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</si>
  <si>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</si>
  <si>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</si>
  <si>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</si>
  <si>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</si>
  <si>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</si>
  <si>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</si>
  <si>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</si>
  <si>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</si>
  <si>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</si>
  <si>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</si>
  <si>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</si>
  <si>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</si>
  <si>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</si>
  <si>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</si>
  <si>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</si>
  <si>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</si>
  <si>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</si>
  <si>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</si>
  <si>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</si>
  <si>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</si>
  <si>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</si>
  <si>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</si>
  <si>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</si>
  <si>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</si>
  <si>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</si>
  <si>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</si>
  <si>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</si>
  <si>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</si>
  <si>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</si>
  <si>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</si>
  <si>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</si>
  <si>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</si>
  <si>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</si>
  <si>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</si>
  <si>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</si>
  <si>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</si>
  <si>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</si>
  <si>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</si>
  <si>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</si>
  <si>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</si>
  <si>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</si>
  <si>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</si>
  <si>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</si>
  <si>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</si>
  <si>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</si>
  <si>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</si>
  <si>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</si>
  <si>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</si>
  <si>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</si>
  <si>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</si>
  <si>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</si>
  <si>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</si>
  <si>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</si>
  <si>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</si>
  <si>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</si>
  <si>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</si>
  <si>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</si>
  <si>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</si>
  <si>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</si>
  <si>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</si>
  <si>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</si>
  <si>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</si>
  <si>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</si>
  <si>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</si>
  <si>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</si>
  <si>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</si>
  <si>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</si>
  <si>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</si>
  <si>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</si>
  <si>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</si>
  <si>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</si>
  <si>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</si>
  <si>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</si>
  <si>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</si>
  <si>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</si>
  <si>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</si>
  <si>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</si>
  <si>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</si>
  <si>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</si>
  <si>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</si>
  <si>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</si>
  <si>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</si>
  <si>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</si>
  <si>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</si>
  <si>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</si>
  <si>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</si>
  <si>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</si>
  <si>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</si>
  <si>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</si>
  <si>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</si>
  <si>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</si>
  <si>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</si>
  <si>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</si>
  <si>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</si>
  <si>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</si>
  <si>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</si>
  <si>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</si>
  <si>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</si>
  <si>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</si>
  <si>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</si>
  <si>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</si>
  <si>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</si>
  <si>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</si>
  <si>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</si>
  <si>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</si>
  <si>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</si>
  <si>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</si>
  <si>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</si>
  <si>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</si>
  <si>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</si>
  <si>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</si>
  <si>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</si>
  <si>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</si>
  <si>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</si>
  <si>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</si>
  <si>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</si>
  <si>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</si>
  <si>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</si>
  <si>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</si>
  <si>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</si>
  <si>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</si>
  <si>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</si>
  <si>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</si>
  <si>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</si>
  <si>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</si>
  <si>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</si>
  <si>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</si>
  <si>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</si>
  <si>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</si>
  <si>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</si>
  <si>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</si>
  <si>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</si>
  <si>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</si>
  <si>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</si>
  <si>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</si>
  <si>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</si>
  <si>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</si>
  <si>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</si>
  <si>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</si>
  <si>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</si>
  <si>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</si>
  <si>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</si>
  <si>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</si>
  <si>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</si>
  <si>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</si>
  <si>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</si>
  <si>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</si>
  <si>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</si>
  <si>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</si>
  <si>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</si>
  <si>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</si>
  <si>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</si>
  <si>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</si>
  <si>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</si>
  <si>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</si>
  <si>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</si>
  <si>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</si>
  <si>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</si>
  <si>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</si>
  <si>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</si>
  <si>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</si>
  <si>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</si>
  <si>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</si>
  <si>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</si>
  <si>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</si>
  <si>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</si>
  <si>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</si>
  <si>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</si>
  <si>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</si>
  <si>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</si>
  <si>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</si>
  <si>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</si>
  <si>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</si>
  <si>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</si>
  <si>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</si>
  <si>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</si>
  <si>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</si>
  <si>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</si>
  <si>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</si>
  <si>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</si>
  <si>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</si>
  <si>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</si>
  <si>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</si>
  <si>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</si>
  <si>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</si>
  <si>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</si>
  <si>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</si>
  <si>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</si>
  <si>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</si>
  <si>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</si>
  <si>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</si>
  <si>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</si>
  <si>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</si>
  <si>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</si>
  <si>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</si>
  <si>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</si>
  <si>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</si>
  <si>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</si>
  <si>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</si>
  <si>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</si>
  <si>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</si>
  <si>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</si>
  <si>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</si>
  <si>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</si>
  <si>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</si>
  <si>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</si>
  <si>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</si>
  <si>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</si>
  <si>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</si>
  <si>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</si>
  <si>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</si>
  <si>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</si>
  <si>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</si>
  <si>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</si>
  <si>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</si>
  <si>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</si>
  <si>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</si>
  <si>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</si>
  <si>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</si>
  <si>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</si>
  <si>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</si>
  <si>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</si>
  <si>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</si>
  <si>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</si>
  <si>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</si>
  <si>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</si>
  <si>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</si>
  <si>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</si>
  <si>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</si>
  <si>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</si>
  <si>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</si>
  <si>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</si>
  <si>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</si>
  <si>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</si>
  <si>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</si>
  <si>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</si>
  <si>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</si>
  <si>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</si>
  <si>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</si>
  <si>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</si>
  <si>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</si>
  <si>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</si>
  <si>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</si>
  <si>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</si>
  <si>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</si>
  <si>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</si>
  <si>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</si>
  <si>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</si>
  <si>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</si>
  <si>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</si>
  <si>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</si>
  <si>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</si>
  <si>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</si>
  <si>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</si>
  <si>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</si>
  <si>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</si>
  <si>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</si>
  <si>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</si>
  <si>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</si>
  <si>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</si>
  <si>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</si>
  <si>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</si>
  <si>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</si>
  <si>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</si>
  <si>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</si>
  <si>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</si>
  <si>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</si>
  <si>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</si>
  <si>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</si>
  <si>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</si>
  <si>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</si>
  <si>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</si>
  <si>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</si>
  <si>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</si>
  <si>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</si>
  <si>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</si>
  <si>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</si>
  <si>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</si>
  <si>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</si>
  <si>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</si>
  <si>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</si>
  <si>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</si>
  <si>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</si>
  <si>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</si>
  <si>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</si>
  <si>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</si>
  <si>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</si>
  <si>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</si>
  <si>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</si>
  <si>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</si>
  <si>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</si>
  <si>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</si>
  <si>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</si>
  <si>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</si>
  <si>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</si>
  <si>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</si>
  <si>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</si>
  <si>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</si>
  <si>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</si>
  <si>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</si>
  <si>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</si>
  <si>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</si>
  <si>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</si>
  <si>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</si>
  <si>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</si>
  <si>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</si>
  <si>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</si>
  <si>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</si>
  <si>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</si>
  <si>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</si>
  <si>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</si>
  <si>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</si>
  <si>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</si>
  <si>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</si>
  <si>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</si>
  <si>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</si>
  <si>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</si>
  <si>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</si>
  <si>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</si>
  <si>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</si>
  <si>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</si>
  <si>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</si>
  <si>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</si>
  <si>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</si>
  <si>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</si>
  <si>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</si>
  <si>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</si>
  <si>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</si>
  <si>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</si>
  <si>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</si>
  <si>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</si>
  <si>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</si>
  <si>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</si>
  <si>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</si>
  <si>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</si>
  <si>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</si>
  <si>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</si>
  <si>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</si>
  <si>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</si>
  <si>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</si>
  <si>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</si>
  <si>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</si>
  <si>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</si>
  <si>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</si>
  <si>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</si>
  <si>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</si>
  <si>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</si>
  <si>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</si>
  <si>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</si>
  <si>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</si>
  <si>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</si>
  <si>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</si>
  <si>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</si>
  <si>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</si>
  <si>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</si>
  <si>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</si>
  <si>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</si>
  <si>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</si>
  <si>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</si>
  <si>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</si>
  <si>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</si>
  <si>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</si>
  <si>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</si>
  <si>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</si>
  <si>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</si>
  <si>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</si>
  <si>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</si>
  <si>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</si>
  <si>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</si>
  <si>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</si>
  <si>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</si>
  <si>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</si>
  <si>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</si>
  <si>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</si>
  <si>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</si>
  <si>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</si>
  <si>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</si>
  <si>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</si>
  <si>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</si>
  <si>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</si>
  <si>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</si>
  <si>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</si>
  <si>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</si>
  <si>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</si>
  <si>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</si>
  <si>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</si>
  <si>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</si>
  <si>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</si>
  <si>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</si>
  <si>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</si>
  <si>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</si>
  <si>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</si>
  <si>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</si>
  <si>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</si>
  <si>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</si>
  <si>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</si>
  <si>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</si>
  <si>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</si>
  <si>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</si>
  <si>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</si>
  <si>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</si>
  <si>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</si>
  <si>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</si>
  <si>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</si>
  <si>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</si>
  <si>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</si>
  <si>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</si>
  <si>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</si>
  <si>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</si>
  <si>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</si>
  <si>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</si>
  <si>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</si>
  <si>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</si>
  <si>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</si>
  <si>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</si>
  <si>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</si>
  <si>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</si>
  <si>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</si>
  <si>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</si>
  <si>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</si>
  <si>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</si>
  <si>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</si>
  <si>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</si>
  <si>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</si>
  <si>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</si>
  <si>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</si>
  <si>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</si>
  <si>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</si>
  <si>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</si>
  <si>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</si>
  <si>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</si>
  <si>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</si>
  <si>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</si>
  <si>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</si>
  <si>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</si>
  <si>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</si>
  <si>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</si>
  <si>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</si>
  <si>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</si>
  <si>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</si>
  <si>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</si>
  <si>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</si>
  <si>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</si>
  <si>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</si>
  <si>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</si>
  <si>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</si>
  <si>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</si>
  <si>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</si>
  <si>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</si>
  <si>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</si>
  <si>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</si>
  <si>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</si>
  <si>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</si>
  <si>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</si>
  <si>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</si>
  <si>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</si>
  <si>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</si>
  <si>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</si>
  <si>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</si>
  <si>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</si>
  <si>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</si>
  <si>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</si>
  <si>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</si>
  <si>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</si>
  <si>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</si>
  <si>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</si>
  <si>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</si>
  <si>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</si>
  <si>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</si>
  <si>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</si>
  <si>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</si>
  <si>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</si>
  <si>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</si>
  <si>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</si>
  <si>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</si>
  <si>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</si>
  <si>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</si>
  <si>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</si>
  <si>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</si>
  <si>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</si>
  <si>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</si>
  <si>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</si>
  <si>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</si>
  <si>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</si>
  <si>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</si>
  <si>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</si>
  <si>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</si>
  <si>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</si>
  <si>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</si>
  <si>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</si>
  <si>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</si>
  <si>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</si>
  <si>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</si>
  <si>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</si>
  <si>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</si>
  <si>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</si>
  <si>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</si>
  <si>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</si>
  <si>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</si>
  <si>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</si>
  <si>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</si>
  <si>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</si>
  <si>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</si>
  <si>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</si>
  <si>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</si>
  <si>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</si>
  <si>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</si>
  <si>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</si>
  <si>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</si>
  <si>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</si>
  <si>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</si>
  <si>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</si>
  <si>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</si>
  <si>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</si>
  <si>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</si>
  <si>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</si>
  <si>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</si>
  <si>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</si>
  <si>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</si>
  <si>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</si>
  <si>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</si>
  <si>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</si>
  <si>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</si>
  <si>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</si>
  <si>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</si>
  <si>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</si>
  <si>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</si>
  <si>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</si>
  <si>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</si>
  <si>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</si>
  <si>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</si>
  <si>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</si>
  <si>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</si>
  <si>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</si>
  <si>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</si>
  <si>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</si>
  <si>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</si>
  <si>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</si>
  <si>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</si>
  <si>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</si>
  <si>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</si>
  <si>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</si>
  <si>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</si>
  <si>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</si>
  <si>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</si>
  <si>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</si>
  <si>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</si>
  <si>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</si>
  <si>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</si>
  <si>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</si>
  <si>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</si>
  <si>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</si>
  <si>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</si>
  <si>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</si>
  <si>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</si>
  <si>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</si>
  <si>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</si>
  <si>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</si>
  <si>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</si>
  <si>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</si>
  <si>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</si>
  <si>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</si>
  <si>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</si>
  <si>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</si>
  <si>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</si>
  <si>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</si>
  <si>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</si>
  <si>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</si>
  <si>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</si>
  <si>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</si>
  <si>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</si>
  <si>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</si>
  <si>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</si>
  <si>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</si>
  <si>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</si>
  <si>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</si>
  <si>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</si>
  <si>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</si>
  <si>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</si>
  <si>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</si>
  <si>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</si>
  <si>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</si>
  <si>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</si>
  <si>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</si>
  <si>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</si>
  <si>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</si>
  <si>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</si>
  <si>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</si>
  <si>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</si>
  <si>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</si>
  <si>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</si>
  <si>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</si>
  <si>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</si>
  <si>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</si>
  <si>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</si>
  <si>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</si>
  <si>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</si>
  <si>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</si>
  <si>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</si>
  <si>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</si>
  <si>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</si>
  <si>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</si>
  <si>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</si>
  <si>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</si>
  <si>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</si>
  <si>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</si>
  <si>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</si>
  <si>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</si>
  <si>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</si>
  <si>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</si>
  <si>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</si>
  <si>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</si>
  <si>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</si>
  <si>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</si>
  <si>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</si>
  <si>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</si>
  <si>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</si>
  <si>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</si>
  <si>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</si>
  <si>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</si>
  <si>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</si>
  <si>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</si>
  <si>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</si>
  <si>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</si>
  <si>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</si>
  <si>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</si>
  <si>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</si>
  <si>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</si>
  <si>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</si>
  <si>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</si>
  <si>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</si>
  <si>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</si>
  <si>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</si>
  <si>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</si>
  <si>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</si>
  <si>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</si>
  <si>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</si>
  <si>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</si>
  <si>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</si>
  <si>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</si>
  <si>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</si>
  <si>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</si>
  <si>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</si>
  <si>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</si>
  <si>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</si>
  <si>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</si>
  <si>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</si>
  <si>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</si>
  <si>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</si>
  <si>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</si>
  <si>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</si>
  <si>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</si>
  <si>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</si>
  <si>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</si>
  <si>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</si>
  <si>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</si>
  <si>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</si>
  <si>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</si>
  <si>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</si>
  <si>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</si>
  <si>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</si>
  <si>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</si>
  <si>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</si>
  <si>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</si>
  <si>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</si>
  <si>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</si>
  <si>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</si>
  <si>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</si>
  <si>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</si>
  <si>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</si>
  <si>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</si>
  <si>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</si>
  <si>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</si>
  <si>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</si>
  <si>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</si>
  <si>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</si>
  <si>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</si>
  <si>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</si>
  <si>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</si>
  <si>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</si>
  <si>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</si>
  <si>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</si>
  <si>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</si>
  <si>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</si>
  <si>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</si>
  <si>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</si>
  <si>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</si>
  <si>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</si>
  <si>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</si>
  <si>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</si>
  <si>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</si>
  <si>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</si>
  <si>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</si>
  <si>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</si>
  <si>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</si>
  <si>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</si>
  <si>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</si>
  <si>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</si>
  <si>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</si>
  <si>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</si>
  <si>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</si>
  <si>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</si>
  <si>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</si>
  <si>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</si>
  <si>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</si>
  <si>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</si>
  <si>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</si>
  <si>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</si>
  <si>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</si>
  <si>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</si>
  <si>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</si>
  <si>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</si>
  <si>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</si>
  <si>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</si>
  <si>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</si>
  <si>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</si>
  <si>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</si>
  <si>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</si>
  <si>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</si>
  <si>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</si>
  <si>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</si>
  <si>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</si>
  <si>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</si>
  <si>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</si>
  <si>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</si>
  <si>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</si>
  <si>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</si>
  <si>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</si>
  <si>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</si>
  <si>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</si>
  <si>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</si>
  <si>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</si>
  <si>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</si>
  <si>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</si>
  <si>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</si>
  <si>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</si>
  <si>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</si>
  <si>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</si>
  <si>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</si>
  <si>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</si>
  <si>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</si>
  <si>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</si>
  <si>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</si>
  <si>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</si>
  <si>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</si>
  <si>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</si>
  <si>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</si>
  <si>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</si>
  <si>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</si>
  <si>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</si>
  <si>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</si>
  <si>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</si>
  <si>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</si>
  <si>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</si>
  <si>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</si>
  <si>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</si>
  <si>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</si>
  <si>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</si>
  <si>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</si>
  <si>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</si>
  <si>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</si>
  <si>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</si>
  <si>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</si>
  <si>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</si>
  <si>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</si>
  <si>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</si>
  <si>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</si>
  <si>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</si>
  <si>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</si>
  <si>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</si>
  <si>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</si>
  <si>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</si>
  <si>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</si>
  <si>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</si>
  <si>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</si>
  <si>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</si>
  <si>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</si>
  <si>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</si>
  <si>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</si>
  <si>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</si>
  <si>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</si>
  <si>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</si>
  <si>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</si>
  <si>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</si>
  <si>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</si>
  <si>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</si>
  <si>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</si>
  <si>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</si>
  <si>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</si>
  <si>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</si>
  <si>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</si>
  <si>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</si>
  <si>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</si>
  <si>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</si>
  <si>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</si>
  <si>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</si>
  <si>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</si>
  <si>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</si>
  <si>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</si>
  <si>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</si>
  <si>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</si>
  <si>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</si>
  <si>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</si>
  <si>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</si>
  <si>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</si>
  <si>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</si>
  <si>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</si>
  <si>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</si>
  <si>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</si>
  <si>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</si>
  <si>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</si>
  <si>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</si>
  <si>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</si>
  <si>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</si>
  <si>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</si>
  <si>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</si>
  <si>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</si>
  <si>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</si>
  <si>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</si>
  <si>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</si>
  <si>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</si>
  <si>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</si>
  <si>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</si>
  <si>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</si>
  <si>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</si>
  <si>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</si>
  <si>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</si>
  <si>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</si>
  <si>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</si>
  <si>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</si>
  <si>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</si>
  <si>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</si>
  <si>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</si>
  <si>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</si>
  <si>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</si>
  <si>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</si>
  <si>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</si>
  <si>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</si>
  <si>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</si>
  <si>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</si>
  <si>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</si>
  <si>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</si>
  <si>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</si>
  <si>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</si>
  <si>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</si>
  <si>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</si>
  <si>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</si>
  <si>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</si>
  <si>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</si>
  <si>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</si>
  <si>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</si>
  <si>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</si>
  <si>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</si>
  <si>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</si>
  <si>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</si>
  <si>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</si>
  <si>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</si>
  <si>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</si>
  <si>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</si>
  <si>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</si>
  <si>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</si>
  <si>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</si>
  <si>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</si>
  <si>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</si>
  <si>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</si>
  <si>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</si>
  <si>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</si>
  <si>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</si>
  <si>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</si>
  <si>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</si>
  <si>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</si>
  <si>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</si>
  <si>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</si>
  <si>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</si>
  <si>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</si>
  <si>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</si>
  <si>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</si>
  <si>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</si>
  <si>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</si>
  <si>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</si>
  <si>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</si>
  <si>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</si>
  <si>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</si>
  <si>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</si>
  <si>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</si>
  <si>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</si>
  <si>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</si>
  <si>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</si>
  <si>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</si>
  <si>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</si>
  <si>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</si>
  <si>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</si>
  <si>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</si>
  <si>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</si>
  <si>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</si>
  <si>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</si>
  <si>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</si>
  <si>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</si>
  <si>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</si>
  <si>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</si>
  <si>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</si>
  <si>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</si>
  <si>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</si>
  <si>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</si>
  <si>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</si>
  <si>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</si>
  <si>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</si>
  <si>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</si>
  <si>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</si>
  <si>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</si>
  <si>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</si>
  <si>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</si>
  <si>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</si>
  <si>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</si>
  <si>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</si>
  <si>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</si>
  <si>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</si>
  <si>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</si>
  <si>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</si>
  <si>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</si>
  <si>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</si>
  <si>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</si>
  <si>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</si>
  <si>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</si>
  <si>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</si>
  <si>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</si>
  <si>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</si>
  <si>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</si>
  <si>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</si>
  <si>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</si>
  <si>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</si>
  <si>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</si>
  <si>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</si>
  <si>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</si>
  <si>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</si>
  <si>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</si>
  <si>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</si>
  <si>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</si>
  <si>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</si>
  <si>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</si>
  <si>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</si>
  <si>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</si>
  <si>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</si>
  <si>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</si>
  <si>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</si>
  <si>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</si>
  <si>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</si>
  <si>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</si>
  <si>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</si>
  <si>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</si>
  <si>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</si>
  <si>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</si>
  <si>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</si>
  <si>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</si>
  <si>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</si>
  <si>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</si>
  <si>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</si>
  <si>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</si>
  <si>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</si>
  <si>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</si>
  <si>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</si>
  <si>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</si>
  <si>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</si>
  <si>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</si>
  <si>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</si>
  <si>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</si>
  <si>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</si>
  <si>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</si>
  <si>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</si>
  <si>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</si>
  <si>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</si>
  <si>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</si>
  <si>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</si>
  <si>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</si>
  <si>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</si>
  <si>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</si>
  <si>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</si>
  <si>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</si>
  <si>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</si>
  <si>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</si>
  <si>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</si>
  <si>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</si>
  <si>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</si>
  <si>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</si>
  <si>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</si>
  <si>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</si>
  <si>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</si>
  <si>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</si>
  <si>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</si>
  <si>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</si>
  <si>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</si>
  <si>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</si>
  <si>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</si>
  <si>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</si>
  <si>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</si>
  <si>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</si>
  <si>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</si>
  <si>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</si>
  <si>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</si>
  <si>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</si>
  <si>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</si>
  <si>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</si>
  <si>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</si>
  <si>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</si>
  <si>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</si>
  <si>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</si>
  <si>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</si>
  <si>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</si>
  <si>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</si>
  <si>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</si>
  <si>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</si>
  <si>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</si>
  <si>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</si>
  <si>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</si>
  <si>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</si>
  <si>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</si>
  <si>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</si>
  <si>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</si>
  <si>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</si>
  <si>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</si>
  <si>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</si>
  <si>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</si>
  <si>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</si>
  <si>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</si>
  <si>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</si>
  <si>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</si>
  <si>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</si>
  <si>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</si>
  <si>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</si>
  <si>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</si>
  <si>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</si>
  <si>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</si>
  <si>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</si>
  <si>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</si>
  <si>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</si>
  <si>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</si>
  <si>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</si>
  <si>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</si>
  <si>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</si>
  <si>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</si>
  <si>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</si>
  <si>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</si>
  <si>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</si>
  <si>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</si>
  <si>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</si>
  <si>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</si>
  <si>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</si>
  <si>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</si>
  <si>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</si>
  <si>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</si>
  <si>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</si>
  <si>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</si>
  <si>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</si>
  <si>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</si>
  <si>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</si>
  <si>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</si>
  <si>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</si>
  <si>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</si>
  <si>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</si>
  <si>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</si>
  <si>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</si>
  <si>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</si>
  <si>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</si>
  <si>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</si>
  <si>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</si>
  <si>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</si>
  <si>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</si>
  <si>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</si>
  <si>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</si>
  <si>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</si>
  <si>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</si>
  <si>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</si>
  <si>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</si>
  <si>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</si>
  <si>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</si>
  <si>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</si>
  <si>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</si>
  <si>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</si>
  <si>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</si>
  <si>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</si>
  <si>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</si>
  <si>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</si>
  <si>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</si>
  <si>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</si>
  <si>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</si>
  <si>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</si>
  <si>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</si>
  <si>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</si>
  <si>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</si>
  <si>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</si>
  <si>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</si>
  <si>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</si>
  <si>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</si>
  <si>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</si>
  <si>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</si>
  <si>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</si>
  <si>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</si>
  <si>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</si>
  <si>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</si>
  <si>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</si>
  <si>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</si>
  <si>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</si>
  <si>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</si>
  <si>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</si>
  <si>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</si>
  <si>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</si>
  <si>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</si>
  <si>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</si>
  <si>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</si>
  <si>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</si>
  <si>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</si>
  <si>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</si>
  <si>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</si>
  <si>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</si>
  <si>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</si>
  <si>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</si>
  <si>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</si>
  <si>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</si>
  <si>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</si>
  <si>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</si>
  <si>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</si>
  <si>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</si>
  <si>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</si>
  <si>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</si>
  <si>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</si>
  <si>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</si>
  <si>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</si>
  <si>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</si>
  <si>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</si>
  <si>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</si>
  <si>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</si>
  <si>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</si>
  <si>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</si>
  <si>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</si>
  <si>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</si>
  <si>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</si>
  <si>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</si>
  <si>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</si>
  <si>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</si>
  <si>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</si>
  <si>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</si>
  <si>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</si>
  <si>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</si>
  <si>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</si>
  <si>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</si>
  <si>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</si>
  <si>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</si>
  <si>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</si>
  <si>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</si>
  <si>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</si>
  <si>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</si>
  <si>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</si>
  <si>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</si>
  <si>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</si>
  <si>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</si>
  <si>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</si>
  <si>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</si>
  <si>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</si>
  <si>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</si>
  <si>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</si>
  <si>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</si>
  <si>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</si>
  <si>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</si>
  <si>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</si>
  <si>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</si>
  <si>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</si>
  <si>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</si>
  <si>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</si>
  <si>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</si>
  <si>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</si>
  <si>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</si>
  <si>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</si>
  <si>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</si>
  <si>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</si>
  <si>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</si>
  <si>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</si>
  <si>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</si>
  <si>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</si>
  <si>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</si>
  <si>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</si>
  <si>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</si>
  <si>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</si>
  <si>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</si>
  <si>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</si>
  <si>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</si>
  <si>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</si>
  <si>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</si>
  <si>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</si>
  <si>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</si>
  <si>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</si>
  <si>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</si>
  <si>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</si>
  <si>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</si>
  <si>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</si>
  <si>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</si>
  <si>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</si>
  <si>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</si>
  <si>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</si>
  <si>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</si>
  <si>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</si>
  <si>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</si>
  <si>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</si>
  <si>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</si>
  <si>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</si>
  <si>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</si>
  <si>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</si>
  <si>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</si>
  <si>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</si>
  <si>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</si>
  <si>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</si>
  <si>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</si>
  <si>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</si>
  <si>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</si>
  <si>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</si>
  <si>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</si>
  <si>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</si>
  <si>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</si>
  <si>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</si>
  <si>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</si>
  <si>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</si>
  <si>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</si>
  <si>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</si>
  <si>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</si>
  <si>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</si>
  <si>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</si>
  <si>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</si>
  <si>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</si>
  <si>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</si>
  <si>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</si>
  <si>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</si>
  <si>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</si>
  <si>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</si>
  <si>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</si>
  <si>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</si>
  <si>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</si>
  <si>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</si>
  <si>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</si>
  <si>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</si>
  <si>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</si>
  <si>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</si>
  <si>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</si>
  <si>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</si>
  <si>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</si>
  <si>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</si>
  <si>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</si>
  <si>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</si>
  <si>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</si>
  <si>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</si>
  <si>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</si>
  <si>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</si>
  <si>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</si>
  <si>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</si>
  <si>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</si>
  <si>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</si>
  <si>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</si>
  <si>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</si>
  <si>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</si>
  <si>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</si>
  <si>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</si>
  <si>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</si>
  <si>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</si>
  <si>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</si>
  <si>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</si>
  <si>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</si>
  <si>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</si>
  <si>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</si>
  <si>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</si>
  <si>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</si>
  <si>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</si>
  <si>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</si>
  <si>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</si>
  <si>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</si>
  <si>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</si>
  <si>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</si>
  <si>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</si>
  <si>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</si>
  <si>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</si>
  <si>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</si>
  <si>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</si>
  <si>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</si>
  <si>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</si>
  <si>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</si>
  <si>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</si>
  <si>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</si>
  <si>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</si>
  <si>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</si>
  <si>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</si>
  <si>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</si>
  <si>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</si>
  <si>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</si>
  <si>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</si>
  <si>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</si>
  <si>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</si>
  <si>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</si>
  <si>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</si>
  <si>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</si>
  <si>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</si>
  <si>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</si>
  <si>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</si>
  <si>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</si>
  <si>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</si>
  <si>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</si>
  <si>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</si>
  <si>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</si>
  <si>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</si>
  <si>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</si>
  <si>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</si>
  <si>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</si>
  <si>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</si>
  <si>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</si>
  <si>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</si>
  <si>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</si>
  <si>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</si>
  <si>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</si>
  <si>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</si>
  <si>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</si>
  <si>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</si>
  <si>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</si>
  <si>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</si>
  <si>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</si>
  <si>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</si>
  <si>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</si>
  <si>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</si>
  <si>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</si>
  <si>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</si>
  <si>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</si>
  <si>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</si>
  <si>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</si>
  <si>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</si>
  <si>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</si>
  <si>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</si>
  <si>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</si>
  <si>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</si>
  <si>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</si>
  <si>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</si>
  <si>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</si>
  <si>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</si>
  <si>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</si>
  <si>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</si>
  <si>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</si>
  <si>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</si>
  <si>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</si>
  <si>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</si>
  <si>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</si>
  <si>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</si>
  <si>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</si>
  <si>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</si>
  <si>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</si>
  <si>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</si>
  <si>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</si>
  <si>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</si>
  <si>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</si>
  <si>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</si>
  <si>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</si>
  <si>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</si>
  <si>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</si>
  <si>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</si>
  <si>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</si>
  <si>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</si>
  <si>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</si>
  <si>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</si>
  <si>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</si>
  <si>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</si>
  <si>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</si>
  <si>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</si>
  <si>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</si>
  <si>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</si>
  <si>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</si>
  <si>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</si>
  <si>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</si>
  <si>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</si>
  <si>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</si>
  <si>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</si>
  <si>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</si>
  <si>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</si>
  <si>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</si>
  <si>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</si>
  <si>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</si>
  <si>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</si>
  <si>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</si>
  <si>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</si>
  <si>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</si>
  <si>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</si>
  <si>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</si>
  <si>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</si>
  <si>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</si>
  <si>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</si>
  <si>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</si>
  <si>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</si>
  <si>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</si>
  <si>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</si>
  <si>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</si>
  <si>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</si>
  <si>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</si>
  <si>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</si>
  <si>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</si>
  <si>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</si>
  <si>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</si>
  <si>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</si>
  <si>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</si>
  <si>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</si>
  <si>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</si>
  <si>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</si>
  <si>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</si>
  <si>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</si>
  <si>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</si>
  <si>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</si>
  <si>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</si>
  <si>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</si>
  <si>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</si>
  <si>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</si>
  <si>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</si>
  <si>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</si>
  <si>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</si>
  <si>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</si>
  <si>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</si>
  <si>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</si>
  <si>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</si>
  <si>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</si>
  <si>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</si>
  <si>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</si>
  <si>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</si>
  <si>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</si>
  <si>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</si>
  <si>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</si>
  <si>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</si>
  <si>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</si>
  <si>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</si>
  <si>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</si>
  <si>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</si>
  <si>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</si>
  <si>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</si>
  <si>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</si>
  <si>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</si>
  <si>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</si>
  <si>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</si>
  <si>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</si>
  <si>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</si>
  <si>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</si>
  <si>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</si>
  <si>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</si>
  <si>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</si>
  <si>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</si>
  <si>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</si>
  <si>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</si>
  <si>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</si>
  <si>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</si>
  <si>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</si>
  <si>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</si>
  <si>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</si>
  <si>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</si>
  <si>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</si>
  <si>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</si>
  <si>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估价对象所在区域基础设施水平——五通</t>
    <phoneticPr fontId="20" type="noConversion"/>
  </si>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</sst>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twoCellAnchor editAs="oneCell">
    <xdr:from>
      <xdr:col>1</xdr:col>
      <xdr:colOff>0</xdr:colOff>
      <xdr:row>176</xdr:row>
      <xdr:rowOff>0</xdr:rowOff>
    </xdr:from>
    <xdr:to>
      <xdr:col>13</xdr:col>
      <xdr:colOff>608496</xdr:colOff>
      <xdr:row>185</xdr:row>
      <xdr:rowOff>9331</xdr:rowOff>
    </xdr:to>
    <xdr:pic>
      <xdr:nvPicPr>
        <xdr:cNvPr id="2" name="图片 1"/>
        <xdr:cNvPicPr>
          <a:picLocks noChangeAspect="1"/>
        </xdr:cNvPicPr>
      </xdr:nvPicPr>
      <xdr:blipFill>
        <a:blip xmlns:r="http://schemas.openxmlformats.org/officeDocument/2006/relationships" r:embed="rId6"/>
        <a:stretch>
          <a:fillRect/>
        </a:stretch>
      </xdr:blipFill>
      <xdr:spPr>
        <a:xfrm>
          <a:off x="685800" y="30175200"/>
          <a:ext cx="8838096" cy="1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1250523</v>
      </c>
    </row>
    <row r="20" spans="1:2">
      <c r="A20" s="1708" t="s">
        <v>1167</v>
      </c>
      <c r="B20" s="1695" t="str">
        <f>'预评函-2（1）'!C7</f>
        <v>总价（元）</v>
      </c>
    </row>
    <row r="21" spans="1:2">
      <c r="A21" s="1708" t="s">
        <v>1130</v>
      </c>
      <c r="B21" s="1695">
        <f ca="1">'预评函-2（1）'!D9</f>
        <v>28794</v>
      </c>
    </row>
    <row r="22" spans="1:2">
      <c r="A22" s="1708" t="s">
        <v>1131</v>
      </c>
      <c r="B22" s="1695" t="str">
        <f ca="1">'预评函-2（1）'!D8</f>
        <v>壹佰贰拾伍万零伍佰贰拾叁元整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1250523</v>
      </c>
    </row>
    <row r="30" spans="1:2">
      <c r="A30" s="1708" t="s">
        <v>1137</v>
      </c>
      <c r="B30" s="1695" t="str">
        <f ca="1">'预评函-2（1）'!D16</f>
        <v>壹佰贰拾伍万零伍佰贰拾叁元整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1116716</v>
      </c>
    </row>
    <row r="38" spans="1:2">
      <c r="A38" s="1708" t="s">
        <v>1145</v>
      </c>
      <c r="B38" s="1695">
        <f ca="1">'预评函-2（2）'!E4</f>
        <v>25713</v>
      </c>
    </row>
    <row r="39" spans="1:2">
      <c r="A39" s="1708" t="s">
        <v>1146</v>
      </c>
      <c r="B39" s="1695" t="str">
        <f ca="1">'预评函-2（2）'!D5</f>
        <v>壹佰壹拾壹万陆仟柒佰壹拾陆元整</v>
      </c>
    </row>
    <row r="40" spans="1:2">
      <c r="A40" s="1708" t="s">
        <v>1147</v>
      </c>
      <c r="B40" s="1695">
        <f ca="1">'预评函-2（2）'!F4</f>
        <v>133808</v>
      </c>
    </row>
    <row r="41" spans="1:2">
      <c r="A41" s="1708" t="s">
        <v>1148</v>
      </c>
      <c r="B41" s="1695">
        <f ca="1">'预评函-2（2）'!G4</f>
        <v>3081</v>
      </c>
    </row>
    <row r="42" spans="1:2" s="1705" customFormat="1" ht="15.75" thickBot="1">
      <c r="A42" s="1709" t="s">
        <v>1149</v>
      </c>
      <c r="B42" s="1697" t="str">
        <f ca="1">'预评函-2（2）'!F5</f>
        <v>壹拾叁万叁仟捌佰零捌元整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28794</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2926</v>
      </c>
      <c r="D9" s="2029"/>
      <c r="E9" s="1011" t="s">
        <v>1565</v>
      </c>
      <c r="F9" s="997" t="s">
        <v>399</v>
      </c>
      <c r="G9" s="1013"/>
    </row>
    <row r="10" spans="1:10" ht="13.5" thickBot="1">
      <c r="A10" s="2812"/>
      <c r="B10" s="345" t="s">
        <v>1566</v>
      </c>
      <c r="C10" s="2827"/>
      <c r="D10" s="2828"/>
      <c r="E10" s="2030" t="s">
        <v>1567</v>
      </c>
      <c r="F10" s="1014" t="s">
        <v>247</v>
      </c>
      <c r="G10" s="1015"/>
    </row>
    <row r="11" spans="1:10" ht="13.5" thickBot="1">
      <c r="A11" s="2812"/>
      <c r="B11" s="2031" t="s">
        <v>1568</v>
      </c>
      <c r="C11" s="2829"/>
      <c r="D11" s="2830"/>
      <c r="E11" s="1023"/>
      <c r="F11" s="1022"/>
      <c r="G11" s="1075"/>
    </row>
    <row r="12" spans="1:10" ht="24.75" thickBot="1">
      <c r="A12" s="2816" t="s">
        <v>1569</v>
      </c>
      <c r="B12" s="2032" t="s">
        <v>1570</v>
      </c>
      <c r="C12" s="1017">
        <v>43.43</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43.43</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2925</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2927</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2931</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2924</v>
      </c>
      <c r="D8" s="2158"/>
      <c r="E8" s="2158"/>
      <c r="F8" s="1248"/>
      <c r="G8" s="1248"/>
      <c r="H8" s="2148"/>
      <c r="I8" s="2148"/>
      <c r="J8" s="2148"/>
      <c r="K8" s="2148"/>
      <c r="L8" s="2148"/>
      <c r="M8" s="2148"/>
      <c r="N8" s="2148"/>
      <c r="O8" s="2148"/>
      <c r="P8" s="2148"/>
      <c r="Q8" s="2148"/>
      <c r="R8" s="2148"/>
    </row>
    <row r="9" spans="1:29" ht="40.5">
      <c r="A9" s="412"/>
      <c r="B9" s="1893" t="s">
        <v>1756</v>
      </c>
      <c r="C9" s="2727" t="s">
        <v>2933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28" sqref="E2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2861</v>
      </c>
      <c r="D4" s="2205" t="s">
        <v>2917</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1071280</v>
      </c>
      <c r="D19" s="60">
        <f ca="1">SUMIF(INDIRECT("'"&amp;D4&amp;"'"&amp;"!A:A"),结果表!B19,INDIRECT("'"&amp;D4&amp;"'"&amp;"!B:B"))</f>
        <v>1967516</v>
      </c>
      <c r="E19" s="2212" t="s">
        <v>1797</v>
      </c>
      <c r="F19" s="2213" t="s">
        <v>1796</v>
      </c>
      <c r="G19" s="61">
        <f ca="1">ROUND(C19*$C$18+D19*$D$18,0)</f>
        <v>1250527</v>
      </c>
      <c r="H19" s="2214" t="str">
        <f>'数据-取费表'!B3</f>
        <v>元</v>
      </c>
      <c r="I19" s="2201"/>
    </row>
    <row r="20" spans="1:35" ht="15">
      <c r="A20" s="2215"/>
      <c r="B20" s="2216" t="s">
        <v>1798</v>
      </c>
      <c r="C20" s="62">
        <f ca="1">SUMIF(INDIRECT("'"&amp;C4&amp;"'"&amp;"!A:A"),结果表!B20,INDIRECT("'"&amp;C4&amp;"'"&amp;"!B:B"))</f>
        <v>24667</v>
      </c>
      <c r="D20" s="63">
        <f ca="1">SUMIF(INDIRECT("'"&amp;D4&amp;"'"&amp;"!A:A"),结果表!B20,INDIRECT("'"&amp;D4&amp;"'"&amp;"!B:B"))</f>
        <v>45303</v>
      </c>
      <c r="E20" s="2215"/>
      <c r="F20" s="2216" t="s">
        <v>1798</v>
      </c>
      <c r="G20" s="64">
        <f ca="1">ROUND(C20*$C$18+D20*$D$18,0)</f>
        <v>28794</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0.83660294227466214</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28794</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25713</v>
      </c>
      <c r="D34" s="1092">
        <f ca="1">IF(D33="自定义",ROUND(C34/C32,3),1-D35)</f>
        <v>0.89300000000000002</v>
      </c>
      <c r="E34" s="2239" t="s">
        <v>1811</v>
      </c>
      <c r="F34" s="1834">
        <v>2000</v>
      </c>
      <c r="G34" s="2201"/>
      <c r="H34" s="2201"/>
      <c r="I34" s="2201"/>
    </row>
    <row r="35" spans="1:16" ht="15.75" hidden="1" thickBot="1">
      <c r="A35" s="2240"/>
      <c r="B35" s="2241" t="s">
        <v>1812</v>
      </c>
      <c r="C35" s="74">
        <f ca="1">IF(D33="自定义",F35,ROUND(C32*D35,0))</f>
        <v>3081</v>
      </c>
      <c r="D35" s="1091">
        <f ca="1">IF(D33="自定义",ROUND(C35/C32,3),IF(D33="成本法成本比率",成本法!C56,IF(D33="收益法收益比率",收益法!J38,收益法!J41)))</f>
        <v>0.107</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1250523</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43055</v>
      </c>
      <c r="N47" s="2866"/>
      <c r="O47" s="2866"/>
      <c r="P47" s="1851"/>
    </row>
    <row r="48" spans="1:16" ht="25.5" hidden="1">
      <c r="A48" s="2950" t="s">
        <v>1837</v>
      </c>
      <c r="B48" s="2951"/>
      <c r="C48" s="2951"/>
      <c r="D48" s="56">
        <f ca="1">IF(H48="情况1",0,IF(H48="情况2",D52,IF(H48="情况3",D53,IF(H48="情况4",D54))))</f>
        <v>66695</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1250523</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66695</v>
      </c>
      <c r="E52" s="10" t="s">
        <v>1854</v>
      </c>
      <c r="F52" s="101">
        <f>'数据-取费表'!E29</f>
        <v>5.6000000000000001E-2</v>
      </c>
      <c r="G52" s="2268"/>
      <c r="H52" s="2201"/>
      <c r="I52" s="2266"/>
      <c r="J52" s="1889">
        <v>1</v>
      </c>
      <c r="K52" s="2854" t="s">
        <v>1855</v>
      </c>
      <c r="L52" s="2854"/>
      <c r="M52" s="779">
        <f ca="1">D48</f>
        <v>66695</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66695</v>
      </c>
      <c r="E53" s="10" t="s">
        <v>1854</v>
      </c>
      <c r="F53" s="101">
        <f>'数据-取费表'!E29</f>
        <v>5.6000000000000001E-2</v>
      </c>
      <c r="G53" s="2268"/>
      <c r="H53" s="2201"/>
      <c r="I53" s="2266"/>
      <c r="J53" s="1889">
        <v>2</v>
      </c>
      <c r="K53" s="2854" t="s">
        <v>1858</v>
      </c>
      <c r="L53" s="2854"/>
      <c r="M53" s="779">
        <f t="shared" ref="M53:O54" ca="1" si="1">D55</f>
        <v>625</v>
      </c>
      <c r="N53" s="1889" t="str">
        <f t="shared" si="1"/>
        <v>销售额×税（费）率</v>
      </c>
      <c r="O53" s="780">
        <f t="shared" si="1"/>
        <v>5.0000000000000001E-4</v>
      </c>
      <c r="P53" s="1851"/>
    </row>
    <row r="54" spans="1:16" ht="12" hidden="1" customHeight="1">
      <c r="A54" s="100" t="s">
        <v>1859</v>
      </c>
      <c r="B54" s="2930" t="s">
        <v>1860</v>
      </c>
      <c r="C54" s="2822"/>
      <c r="D54" s="99">
        <f ca="1">C68</f>
        <v>66695</v>
      </c>
      <c r="E54" s="20" t="s">
        <v>1861</v>
      </c>
      <c r="F54" s="101">
        <f>'数据-取费表'!E29</f>
        <v>5.6000000000000001E-2</v>
      </c>
      <c r="G54" s="2268"/>
      <c r="H54" s="2269"/>
      <c r="I54" s="2266"/>
      <c r="J54" s="1889">
        <v>3</v>
      </c>
      <c r="K54" s="2854" t="s">
        <v>1862</v>
      </c>
      <c r="L54" s="2854"/>
      <c r="M54" s="779">
        <f t="shared" ca="1" si="1"/>
        <v>707796</v>
      </c>
      <c r="N54" s="1889" t="str">
        <f t="shared" si="1"/>
        <v>增值额×税（费）率</v>
      </c>
      <c r="O54" s="781" t="str">
        <f t="shared" si="1"/>
        <v>——</v>
      </c>
      <c r="P54" s="1851"/>
    </row>
    <row r="55" spans="1:16" ht="24" hidden="1" customHeight="1">
      <c r="A55" s="2814" t="s">
        <v>1863</v>
      </c>
      <c r="B55" s="2951"/>
      <c r="C55" s="2951"/>
      <c r="D55" s="102">
        <f ca="1">IF(H55="个人住宅",0,ROUND(D45*I55,0))</f>
        <v>625</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12505</v>
      </c>
      <c r="N55" s="1892" t="str">
        <f>E59</f>
        <v>销售额×税（费）率</v>
      </c>
      <c r="O55" s="783">
        <f>F59</f>
        <v>0.01</v>
      </c>
      <c r="P55" s="1851"/>
    </row>
    <row r="56" spans="1:16" ht="24.75" hidden="1">
      <c r="A56" s="2814" t="s">
        <v>1866</v>
      </c>
      <c r="B56" s="2951"/>
      <c r="C56" s="2951"/>
      <c r="D56" s="102">
        <f ca="1">IF(H56="个人住宅",D57,D58)</f>
        <v>707796</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787621</v>
      </c>
      <c r="O57" s="2273"/>
      <c r="P57" s="1847" t="e">
        <f ca="1">N57/M49</f>
        <v>#VALUE!</v>
      </c>
    </row>
    <row r="58" spans="1:16" ht="24.75" hidden="1">
      <c r="A58" s="100" t="s">
        <v>1852</v>
      </c>
      <c r="B58" s="2939" t="s">
        <v>1872</v>
      </c>
      <c r="C58" s="2940"/>
      <c r="D58" s="102">
        <f ca="1">IF(H58="转让取得",C81,C97)</f>
        <v>707796</v>
      </c>
      <c r="E58" s="10" t="s">
        <v>1867</v>
      </c>
      <c r="F58" s="14" t="s">
        <v>48</v>
      </c>
      <c r="G58" s="2268"/>
      <c r="H58" s="2271" t="s">
        <v>1873</v>
      </c>
      <c r="I58" s="1023"/>
      <c r="J58" s="2854"/>
      <c r="K58" s="2854"/>
      <c r="L58" s="2272" t="s">
        <v>1874</v>
      </c>
      <c r="M58" s="786"/>
      <c r="N58" s="2274" t="str">
        <f ca="1">IF(H19="元",NUMBERSTRING(INT(N57),2)&amp;"元整",NUMBERSTRING(INT(N57*10000),2)&amp;"元整")</f>
        <v>柒拾捌万柒仟陆佰贰拾壹元整</v>
      </c>
      <c r="O58" s="2275"/>
      <c r="P58" s="1851"/>
    </row>
    <row r="59" spans="1:16" ht="26.25" hidden="1" thickBot="1">
      <c r="A59" s="2815" t="s">
        <v>1875</v>
      </c>
      <c r="B59" s="2818"/>
      <c r="C59" s="2818"/>
      <c r="D59" s="105">
        <f ca="1">IF(H59="非个人房产","——",IF(H59="个人住宅",0,ROUND(D45*I59,0)))</f>
        <v>12505</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1190974</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1250523</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1190974</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66695</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1190974</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7146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7146</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1183828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165.66302826756228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707796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1190974</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7146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7146</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1183828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165.66302826756228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707796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1071280</v>
      </c>
      <c r="D101" s="722">
        <f ca="1">D19</f>
        <v>1967516</v>
      </c>
      <c r="E101" s="2201"/>
      <c r="F101" s="2898" t="str">
        <f>项目基本情况!I1</f>
        <v>房地产</v>
      </c>
      <c r="G101" s="2900"/>
      <c r="H101" s="2959">
        <f>项目基本情况!C12</f>
        <v>43.43</v>
      </c>
      <c r="I101" s="2899"/>
    </row>
    <row r="102" spans="1:35" ht="15.75" hidden="1">
      <c r="A102" s="2918"/>
      <c r="B102" s="2296" t="s">
        <v>1940</v>
      </c>
      <c r="C102" s="723">
        <f ca="1">C20</f>
        <v>24667</v>
      </c>
      <c r="D102" s="724">
        <f ca="1">D20</f>
        <v>45303</v>
      </c>
      <c r="E102" s="2201"/>
      <c r="F102" s="2973" t="s">
        <v>1941</v>
      </c>
      <c r="G102" s="2974"/>
      <c r="H102" s="2297" t="str">
        <f>C106</f>
        <v>总价（元）</v>
      </c>
      <c r="I102" s="1868">
        <f ca="1">H121</f>
        <v>1250523</v>
      </c>
    </row>
    <row r="103" spans="1:35" ht="15" hidden="1">
      <c r="A103" s="2918" t="s">
        <v>1942</v>
      </c>
      <c r="B103" s="2298" t="str">
        <f>B101</f>
        <v>总价（元）</v>
      </c>
      <c r="C103" s="725">
        <f ca="1">H121</f>
        <v>1250523</v>
      </c>
      <c r="D103" s="726"/>
      <c r="E103" s="2201"/>
      <c r="F103" s="2973"/>
      <c r="G103" s="2974"/>
      <c r="H103" s="2297" t="s">
        <v>1940</v>
      </c>
      <c r="I103" s="1051">
        <f ca="1">I121</f>
        <v>28794</v>
      </c>
    </row>
    <row r="104" spans="1:35" ht="16.5" hidden="1" thickBot="1">
      <c r="A104" s="2919"/>
      <c r="B104" s="2299" t="s">
        <v>1940</v>
      </c>
      <c r="C104" s="727">
        <f ca="1">I121</f>
        <v>28794</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1250523</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28794</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1250523</v>
      </c>
    </row>
    <row r="111" spans="1:35" ht="15" hidden="1">
      <c r="A111" s="2887" t="s">
        <v>1949</v>
      </c>
      <c r="B111" s="2888"/>
      <c r="C111" s="2300" t="str">
        <f>C108</f>
        <v>总额（元）</v>
      </c>
      <c r="D111" s="638">
        <f>C38</f>
        <v>0</v>
      </c>
      <c r="E111" s="2201"/>
      <c r="F111" s="2869"/>
      <c r="G111" s="2870"/>
      <c r="H111" s="2297" t="s">
        <v>1940</v>
      </c>
      <c r="I111" s="2303">
        <f ca="1">D113</f>
        <v>28794</v>
      </c>
    </row>
    <row r="112" spans="1:35" ht="26.25" hidden="1" customHeight="1">
      <c r="A112" s="2926" t="str">
        <f>IF(项目基本情况!F5="已注销","——","3.房地产抵押价值")</f>
        <v>3.房地产抵押价值</v>
      </c>
      <c r="B112" s="2927"/>
      <c r="C112" s="2297" t="str">
        <f>B101</f>
        <v>总价（元）</v>
      </c>
      <c r="D112" s="1052">
        <f ca="1">IF(A112="——","——",D106-D108)</f>
        <v>1250523</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28794</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1116716</v>
      </c>
      <c r="E121" s="1893">
        <f ca="1">ROUND(IF(B32="楼面单价",C34,IF(H19="元",D121/B121,D121*10000/B121)),0)</f>
        <v>25713</v>
      </c>
      <c r="F121" s="1893">
        <f ca="1">ROUND(IF(B32="总价",C35,IF('数据-取费表'!B3="万元",G121*B121/10000,G121*B121)),0)</f>
        <v>133808</v>
      </c>
      <c r="G121" s="1893">
        <f ca="1">ROUND(IF(B32="楼面单价",C35,IF(H19="元",F121/B121,F121*10000/B121)),0)</f>
        <v>3081</v>
      </c>
      <c r="H121" s="1893">
        <f ca="1">ROUND(IF(B32="总价",C32,IF('数据-取费表'!B3="万元",I121*B121/10000,I121*B121)),0)</f>
        <v>1250523</v>
      </c>
      <c r="I121" s="638">
        <f ca="1">ROUND(IF(B32="楼面单价",C32,IF(H19="元",H121/B121,H121*10000/B121)),0)</f>
        <v>28794</v>
      </c>
    </row>
    <row r="122" spans="1:15" ht="14.25" hidden="1">
      <c r="A122" s="2878" t="s">
        <v>1959</v>
      </c>
      <c r="B122" s="2874"/>
      <c r="C122" s="2874"/>
      <c r="D122" s="2910" t="str">
        <f ca="1">IF(H19="元",NUMBERSTRING(INT(D121),2)&amp;"元整",NUMBERSTRING(INT(D121*10000),2)&amp;"元整")</f>
        <v>壹佰壹拾壹万陆仟柒佰壹拾陆元整</v>
      </c>
      <c r="E122" s="2911"/>
      <c r="F122" s="2910" t="str">
        <f ca="1">IF(H19="元",NUMBERSTRING(INT(F121),2)&amp;"元整",NUMBERSTRING(INT(F121*10000),2)&amp;"元整")</f>
        <v>壹拾叁万叁仟捌佰零捌元整</v>
      </c>
      <c r="G122" s="2911"/>
      <c r="H122" s="2910" t="str">
        <f ca="1">IF(H19="元",NUMBERSTRING(INT(H121),2)&amp;"元整",NUMBERSTRING(INT(H121*10000),2)&amp;"元整")</f>
        <v>壹佰贰拾伍万零伍佰贰拾叁元整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1250523</v>
      </c>
      <c r="E125" s="2913"/>
      <c r="F125" s="2913"/>
      <c r="G125" s="2913"/>
      <c r="H125" s="2913"/>
      <c r="I125" s="2962"/>
    </row>
    <row r="126" spans="1:15" ht="14.25" hidden="1">
      <c r="A126" s="2878" t="s">
        <v>1959</v>
      </c>
      <c r="B126" s="2874"/>
      <c r="C126" s="2874"/>
      <c r="D126" s="2963">
        <f ca="1">I111</f>
        <v>28794</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25915</v>
      </c>
      <c r="F134" s="2309">
        <f ca="1">G20</f>
        <v>28794</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1050076</v>
      </c>
      <c r="F136" s="2309">
        <f ca="1">ROUND(F134*F135,0)</f>
        <v>83791</v>
      </c>
      <c r="G136" s="2741">
        <f ca="1">E136+F136</f>
        <v>1133867</v>
      </c>
      <c r="H136" s="2741">
        <f ca="1">ROUND(G136/项目基本情况!C12,0)</f>
        <v>26108</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43055</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D1"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1071280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24667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60480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60480</v>
      </c>
      <c r="D6" s="81" t="s">
        <v>2801</v>
      </c>
      <c r="E6" s="320" t="s">
        <v>2110</v>
      </c>
      <c r="F6" s="321">
        <f>'数据-取费表'!B29</f>
        <v>5600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8505</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4233.6000000000004</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1210</v>
      </c>
      <c r="D38" s="1435" t="s">
        <v>2180</v>
      </c>
      <c r="E38" s="1433" t="s">
        <v>2176</v>
      </c>
      <c r="F38" s="1428">
        <f>'数据-取费表'!B46</f>
        <v>0.02</v>
      </c>
      <c r="G38" s="792"/>
      <c r="H38" s="1232"/>
      <c r="I38" s="366" t="s">
        <v>2218</v>
      </c>
      <c r="J38" s="221">
        <f ca="1">ROUND(J34/C39,3)</f>
        <v>0.17699999999999999</v>
      </c>
      <c r="K38" s="1237"/>
      <c r="L38" s="1232"/>
      <c r="M38" s="1232"/>
    </row>
    <row r="39" spans="1:18" ht="18" customHeight="1" thickTop="1">
      <c r="A39" s="1422" t="s">
        <v>22</v>
      </c>
      <c r="B39" s="1437" t="s">
        <v>2219</v>
      </c>
      <c r="C39" s="328">
        <f ca="1">C5-C30</f>
        <v>51975</v>
      </c>
      <c r="D39" s="1438" t="s">
        <v>2220</v>
      </c>
      <c r="E39" s="1439"/>
      <c r="F39" s="1440"/>
      <c r="G39" s="792"/>
      <c r="H39" s="1232"/>
      <c r="I39" s="366" t="s">
        <v>2221</v>
      </c>
      <c r="J39" s="221">
        <f ca="1">1-J38</f>
        <v>0.82299999999999995</v>
      </c>
      <c r="K39" s="1237"/>
      <c r="L39" s="1232"/>
      <c r="M39" s="1232"/>
    </row>
    <row r="40" spans="1:18" s="792" customFormat="1" ht="18" customHeight="1">
      <c r="A40" s="317" t="s">
        <v>23</v>
      </c>
      <c r="B40" s="318" t="s">
        <v>2222</v>
      </c>
      <c r="C40" s="319">
        <f ca="1">ROUND(C39*(1-((1+F42)/(1+F40))^F41)/(F40-F42),0)</f>
        <v>1071280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0.107</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0.89300000000000002</v>
      </c>
      <c r="K42" s="1236"/>
      <c r="L42" s="1239"/>
      <c r="M42" s="1239"/>
      <c r="Q42" s="796"/>
    </row>
    <row r="43" spans="1:18" s="792" customFormat="1" ht="18" customHeight="1" thickBot="1">
      <c r="A43" s="357" t="s">
        <v>24</v>
      </c>
      <c r="B43" s="358" t="s">
        <v>2225</v>
      </c>
      <c r="C43" s="359">
        <f ca="1">ROUND(C40/F43,0)</f>
        <v>24667</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1071280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-1119028</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2937</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2938</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1071280</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17522574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1071280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1071280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1071280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17522574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42801</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51975</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1071280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-1119028</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2879</v>
      </c>
      <c r="D5" s="3043"/>
      <c r="E5" s="3040" t="s">
        <v>2880</v>
      </c>
      <c r="F5" s="3041"/>
      <c r="G5" s="3042" t="s">
        <v>2880</v>
      </c>
      <c r="H5" s="3043"/>
      <c r="I5" s="3042" t="s">
        <v>2880</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60"/>
      <c r="Q10" s="1893" t="str">
        <f t="shared" si="6"/>
        <v>土地使用年限（年）</v>
      </c>
      <c r="R10" s="750" t="s">
        <v>25</v>
      </c>
      <c r="S10" s="751">
        <f t="shared" si="0"/>
        <v>120</v>
      </c>
      <c r="T10" s="750" t="s">
        <v>25</v>
      </c>
      <c r="U10" s="751">
        <f t="shared" si="1"/>
        <v>120</v>
      </c>
      <c r="V10" s="750" t="s">
        <v>25</v>
      </c>
      <c r="W10" s="751">
        <f t="shared" si="2"/>
        <v>120</v>
      </c>
      <c r="X10" s="752"/>
      <c r="Y10" s="2874"/>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52" sqref="D52"/>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1220209</v>
      </c>
      <c r="C2" s="2515" t="s">
        <v>2607</v>
      </c>
      <c r="D2" s="2516" t="s">
        <v>2608</v>
      </c>
      <c r="E2" s="2517" t="s">
        <v>2925</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39141</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28096</v>
      </c>
      <c r="C3" s="2515" t="s">
        <v>2613</v>
      </c>
      <c r="D3" s="2516" t="s">
        <v>2614</v>
      </c>
      <c r="E3" s="2522" t="s">
        <v>2929</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28096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22666</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18187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15487</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13619</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84"/>
      <c r="B8" s="116" t="s">
        <v>2631</v>
      </c>
      <c r="C8" s="2546" t="s">
        <v>2935</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83"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103"/>
      <c r="B14" s="2565"/>
      <c r="C14" s="2566" t="s">
        <v>2928</v>
      </c>
      <c r="D14" s="2567" t="s">
        <v>2670</v>
      </c>
      <c r="E14" s="2567" t="s">
        <v>2928</v>
      </c>
      <c r="F14" s="2568" t="s">
        <v>2936</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2941</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1.01</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1220209</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28096</v>
      </c>
      <c r="D29" s="2641">
        <v>43.43</v>
      </c>
      <c r="E29" s="973">
        <f ca="1">ROUND(C29*D29,0)</f>
        <v>1220209</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7024</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2728</v>
      </c>
      <c r="B33" s="2656" t="s">
        <v>2729</v>
      </c>
      <c r="C33" s="124">
        <f ca="1">ROUND(D5*C19*C20*C24*F33,0)</f>
        <v>14708</v>
      </c>
      <c r="D33" s="2641"/>
      <c r="E33" s="118">
        <f t="shared" ref="E33:E39" ca="1" si="6">ROUND(C33*D33,0)</f>
        <v>0</v>
      </c>
      <c r="F33" s="118">
        <f>SUMIF(修正!A45:A56,G2,修正!B45:B56)</f>
        <v>0.7</v>
      </c>
      <c r="G33" s="118">
        <f t="shared" ref="G33:G39" ca="1" si="7">ROUND(IF(E2="工业",C33*$M$39,C33*$M$38),0)</f>
        <v>3677</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2730</v>
      </c>
      <c r="C34" s="124">
        <f ca="1">ROUND(D5*C19*C20*C24*F34,0)</f>
        <v>8404</v>
      </c>
      <c r="D34" s="2641"/>
      <c r="E34" s="118">
        <f t="shared" ca="1" si="6"/>
        <v>0</v>
      </c>
      <c r="F34" s="118">
        <f>SUMIF(修正!A45:A56,G2,修正!C45:C56)</f>
        <v>0.4</v>
      </c>
      <c r="G34" s="118">
        <f t="shared" ca="1" si="7"/>
        <v>2101</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2731</v>
      </c>
      <c r="C35" s="124">
        <f ca="1">ROUND(D5*C19*C20*C24*F35,0)</f>
        <v>5883</v>
      </c>
      <c r="D35" s="2641"/>
      <c r="E35" s="118">
        <f t="shared" ca="1" si="6"/>
        <v>0</v>
      </c>
      <c r="F35" s="118">
        <f>SUMIF(修正!A45:A56,G2,修正!D45:D56)</f>
        <v>0.28000000000000003</v>
      </c>
      <c r="G35" s="118">
        <f t="shared" ca="1" si="7"/>
        <v>1471</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2732</v>
      </c>
      <c r="C36" s="124">
        <f ca="1">ROUND(D5*C19*C20*C24*F36,0)</f>
        <v>5253</v>
      </c>
      <c r="D36" s="2641"/>
      <c r="E36" s="118">
        <f t="shared" ca="1" si="6"/>
        <v>0</v>
      </c>
      <c r="F36" s="118">
        <f>SUMIF(修正!A45:A56,G2,修正!E45:E56)</f>
        <v>0.25</v>
      </c>
      <c r="G36" s="118">
        <f t="shared" ca="1" si="7"/>
        <v>1313</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5253</v>
      </c>
      <c r="D37" s="2641"/>
      <c r="E37" s="118">
        <f t="shared" ca="1" si="6"/>
        <v>0</v>
      </c>
      <c r="F37" s="124">
        <f>SUMIF(修正!A45:A56,G2,修正!F45:F56)</f>
        <v>0.25</v>
      </c>
      <c r="G37" s="118">
        <f t="shared" ca="1" si="7"/>
        <v>1313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5253</v>
      </c>
      <c r="D38" s="2641"/>
      <c r="E38" s="118">
        <f t="shared" ca="1" si="6"/>
        <v>0</v>
      </c>
      <c r="F38" s="124">
        <f>SUMIF(修正!A45:A56,G2,修正!G45:G56)</f>
        <v>0.25</v>
      </c>
      <c r="G38" s="118">
        <f t="shared" ca="1" si="7"/>
        <v>1313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4202</v>
      </c>
      <c r="D39" s="2647"/>
      <c r="E39" s="151">
        <f t="shared" ca="1" si="6"/>
        <v>0</v>
      </c>
      <c r="F39" s="962">
        <f>SUMIF(修正!A45:A56,G2,修正!H45:H56)</f>
        <v>0.2</v>
      </c>
      <c r="G39" s="151">
        <f t="shared" ca="1" si="7"/>
        <v>1051</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0.01</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估价对象所在区域基础设施水平——五通</v>
      </c>
      <c r="C55" s="2567" t="s">
        <v>31</v>
      </c>
      <c r="D55" s="1378">
        <f t="shared" si="10"/>
        <v>0</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估价对象所在区域基础设施水平——五通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2777</v>
      </c>
      <c r="B90" s="3085"/>
      <c r="C90" s="3085"/>
      <c r="D90" s="3085"/>
      <c r="E90" s="3085"/>
      <c r="F90" s="3085"/>
      <c r="G90" s="3085"/>
      <c r="H90" s="3085"/>
      <c r="I90" s="3085"/>
      <c r="J90" s="3085"/>
      <c r="K90" s="2694"/>
      <c r="L90" s="2694"/>
      <c r="M90" s="2694"/>
      <c r="N90" s="2694"/>
    </row>
    <row r="91" spans="1:37">
      <c r="A91" s="3087" t="s">
        <v>2778</v>
      </c>
      <c r="B91" s="3087" t="s">
        <v>2779</v>
      </c>
      <c r="C91" s="2642" t="s">
        <v>2780</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89"/>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89"/>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89"/>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89"/>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89"/>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89"/>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89"/>
      <c r="B108" s="3091"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86" t="s">
        <v>2785</v>
      </c>
      <c r="B110" s="3086"/>
      <c r="C110" s="3086"/>
      <c r="D110" s="3086"/>
      <c r="E110" s="3086"/>
      <c r="F110" s="3086"/>
      <c r="G110" s="3086"/>
      <c r="H110" s="3086"/>
      <c r="I110" s="3086"/>
      <c r="J110" s="3086"/>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3" sqref="C33"/>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1967516</v>
      </c>
      <c r="C2" s="164" t="str">
        <f>'数据-取费表'!B3</f>
        <v>元</v>
      </c>
      <c r="D2" s="2339" t="s">
        <v>1257</v>
      </c>
      <c r="E2" s="1548">
        <f ca="1">SUMIF(INDIRECT("'"&amp;G2&amp;"'"&amp;"!A:A"),"承租人权益价值",INDIRECT("'"&amp;G2&amp;"'"&amp;"!c:c"))</f>
        <v>-1119028</v>
      </c>
      <c r="F2" s="2340" t="str">
        <f>C2</f>
        <v>元</v>
      </c>
      <c r="G2" s="1912" t="s">
        <v>2861</v>
      </c>
    </row>
    <row r="3" spans="1:7" s="165" customFormat="1" ht="18" customHeight="1" thickBot="1">
      <c r="A3" s="168" t="s">
        <v>2009</v>
      </c>
      <c r="B3" s="169">
        <f ca="1">ROUND(C52/IF(B1="仅计算典型户型",'数据-取费表'!E5,'数据-取费表'!B5),0)</f>
        <v>45303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1266111</v>
      </c>
      <c r="D5" s="196" t="s">
        <v>2014</v>
      </c>
      <c r="E5" s="1534" t="s">
        <v>2015</v>
      </c>
      <c r="F5" s="1534" t="s">
        <v>2016</v>
      </c>
      <c r="G5" s="175"/>
    </row>
    <row r="6" spans="1:7" s="176" customFormat="1" ht="13.5" customHeight="1">
      <c r="A6" s="177" t="s">
        <v>2017</v>
      </c>
      <c r="B6" s="178" t="s">
        <v>2018</v>
      </c>
      <c r="C6" s="1533">
        <f ca="1">基准地价修正!B2</f>
        <v>1220209</v>
      </c>
      <c r="D6" s="1535"/>
      <c r="E6" s="1536"/>
      <c r="F6" s="1536"/>
      <c r="G6" s="180"/>
    </row>
    <row r="7" spans="1:7" s="176" customFormat="1" ht="13.5" customHeight="1">
      <c r="A7" s="177" t="s">
        <v>2019</v>
      </c>
      <c r="B7" s="178" t="s">
        <v>2020</v>
      </c>
      <c r="C7" s="200">
        <f ca="1">ROUND(C6*F7,0)</f>
        <v>37216</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2939</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2940</v>
      </c>
    </row>
    <row r="20" spans="1:7" s="176" customFormat="1" ht="13.5" customHeight="1">
      <c r="A20" s="205" t="s">
        <v>2036</v>
      </c>
      <c r="B20" s="174" t="s">
        <v>2037</v>
      </c>
      <c r="C20" s="184">
        <f ca="1">ROUND((C5+C19)*F20,0)</f>
        <v>25322</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92170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91273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897</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322858</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322858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1852835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1967516</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1" workbookViewId="0">
      <selection activeCell="P89" sqref="P8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125.0523</v>
      </c>
      <c r="C5" s="1836">
        <f ca="1">ROUND(B5*10000/$B$1,0)</f>
        <v>28794</v>
      </c>
      <c r="D5" s="1836" t="e">
        <f ca="1">ROUND(B5*10000/$B$2,0)</f>
        <v>#DIV/0!</v>
      </c>
      <c r="E5" s="1837"/>
      <c r="F5" s="1841"/>
      <c r="G5" s="1841"/>
    </row>
    <row r="6" spans="1:9" ht="16.5">
      <c r="A6" s="1836" t="s">
        <v>1237</v>
      </c>
      <c r="B6" s="1836">
        <f ca="1">SUM(G14:G23)</f>
        <v>125.0523</v>
      </c>
      <c r="C6" s="1836">
        <f t="shared" ref="C6:C8" ca="1" si="0">ROUND(B6*10000/$B$1,0)</f>
        <v>28794</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125.0523</v>
      </c>
      <c r="E14" s="1840">
        <f ca="1">ROUND(D14*10000/B14,0)</f>
        <v>28794</v>
      </c>
      <c r="F14" s="1840" t="e">
        <f ca="1">ROUND(D14*10000/C14,0)</f>
        <v>#DIV/0!</v>
      </c>
      <c r="G14" s="1840">
        <f ca="1">IF('数据-取费表'!B3="万元",IF(A14="估价对象1（结果表）",结果表!D125,'结果表 (1修多)'!D128),IF(A14="估价对象1（结果表）",结果表!D125,'结果表 (1修多)'!D128)/10000)</f>
        <v>125.0523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43.43</v>
      </c>
      <c r="D6" s="2768"/>
      <c r="E6" s="1933"/>
    </row>
    <row r="7" spans="1:5" ht="14.25">
      <c r="A7" s="1933"/>
      <c r="B7" s="2762" t="s">
        <v>785</v>
      </c>
      <c r="C7" s="1939" t="str">
        <f>IF('数据-取费表'!B3="万元","总价（万元）","总价（元）")</f>
        <v>总价（元）</v>
      </c>
      <c r="D7" s="1940">
        <f ca="1">IF('数据-取费表'!E3="否",结果表!I102,'结果表 (1修多)'!I103)</f>
        <v>1250523</v>
      </c>
      <c r="E7" s="1933"/>
    </row>
    <row r="8" spans="1:5" ht="28.5">
      <c r="A8" s="1933"/>
      <c r="B8" s="2762"/>
      <c r="C8" s="1941" t="s">
        <v>1179</v>
      </c>
      <c r="D8" s="1942" t="str">
        <f ca="1">IF('数据-取费表'!B3="万元",NUMBERSTRING(INT(D7*10000),2)&amp;"元整",NUMBERSTRING(INT(D7),2)&amp;"元整")</f>
        <v>壹佰贰拾伍万零伍佰贰拾叁元整</v>
      </c>
      <c r="E8" s="1933"/>
    </row>
    <row r="9" spans="1:5" ht="14.25">
      <c r="A9" s="1933"/>
      <c r="B9" s="2762"/>
      <c r="C9" s="1943" t="s">
        <v>1277</v>
      </c>
      <c r="D9" s="1940">
        <f ca="1">IF('数据-取费表'!E3="否",结果表!I103,'结果表 (1修多)'!I104)</f>
        <v>28794</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1250523</v>
      </c>
      <c r="E15" s="1933"/>
    </row>
    <row r="16" spans="1:5" ht="28.5">
      <c r="A16" s="1933"/>
      <c r="B16" s="2769"/>
      <c r="C16" s="1941" t="s">
        <v>1179</v>
      </c>
      <c r="D16" s="1940" t="str">
        <f ca="1">IF('数据-取费表'!B3="万元",NUMBERSTRING(INT(D15*10000),2)&amp;"元整",NUMBERSTRING(INT(D15),2)&amp;"元整")</f>
        <v>壹佰贰拾伍万零伍佰贰拾叁元整</v>
      </c>
      <c r="E16" s="1933"/>
    </row>
    <row r="17" spans="1:5" ht="14.25">
      <c r="A17" s="1933"/>
      <c r="B17" s="2769"/>
      <c r="C17" s="1943" t="s">
        <v>1277</v>
      </c>
      <c r="D17" s="1940">
        <f ca="1">IF('数据-取费表'!E3="否",结果表!I111,'结果表 (1修多)'!I112)</f>
        <v>28794</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1250523</v>
      </c>
      <c r="E28" s="1933"/>
    </row>
    <row r="29" spans="1:5" ht="28.5">
      <c r="A29" s="1933"/>
      <c r="B29" s="2771"/>
      <c r="C29" s="1952" t="s">
        <v>1179</v>
      </c>
      <c r="D29" s="1953" t="str">
        <f ca="1">IF('数据-取费表'!B3="万元",NUMBERSTRING(INT(D28*10000),2)&amp;"元整",NUMBERSTRING(INT(D28),2)&amp;"元整")</f>
        <v>壹佰贰拾伍万零伍佰贰拾叁元整</v>
      </c>
      <c r="E29" s="1933"/>
    </row>
    <row r="30" spans="1:5" ht="14.25">
      <c r="A30" s="1933"/>
      <c r="B30" s="2772"/>
      <c r="C30" s="1943" t="s">
        <v>1182</v>
      </c>
      <c r="D30" s="1954">
        <f ca="1">IF('数据-取费表'!E3="否",结果表!I103,'结果表 (1修多)'!I104)</f>
        <v>28794</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1250523</v>
      </c>
      <c r="E36" s="1933"/>
    </row>
    <row r="37" spans="1:5" ht="28.5">
      <c r="A37" s="1933"/>
      <c r="B37" s="2773"/>
      <c r="C37" s="1952" t="s">
        <v>1179</v>
      </c>
      <c r="D37" s="1957" t="str">
        <f ca="1">IF('数据-取费表'!B3="万元",NUMBERSTRING(INT(D36*10000),2)&amp;"元整",NUMBERSTRING(INT(D36),2)&amp;"元整")</f>
        <v>壹佰贰拾伍万零伍佰贰拾叁元整</v>
      </c>
      <c r="E37" s="1933"/>
    </row>
    <row r="38" spans="1:5" ht="14.25">
      <c r="A38" s="1933"/>
      <c r="B38" s="2773"/>
      <c r="C38" s="1943" t="s">
        <v>1183</v>
      </c>
      <c r="D38" s="1954">
        <f ca="1">IF('数据-取费表'!E3="否",结果表!D113,'结果表 (1修多)'!D116)</f>
        <v>28794</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1116716</v>
      </c>
      <c r="E4" s="1050">
        <f ca="1">IF('数据-取费表'!E3="否",结果表!E121,'结果表 (1修多)'!E124)</f>
        <v>25713</v>
      </c>
      <c r="F4" s="1050">
        <f ca="1">IF('数据-取费表'!E3="否",结果表!F121,'结果表 (1修多)'!F124)</f>
        <v>133808</v>
      </c>
      <c r="G4" s="1050">
        <f ca="1">IF('数据-取费表'!E3="否",结果表!G121,'结果表 (1修多)'!G124)</f>
        <v>3081</v>
      </c>
      <c r="H4" s="1050">
        <f ca="1">IF('数据-取费表'!E3="否",结果表!H121,'结果表 (1修多)'!H124)</f>
        <v>1250523</v>
      </c>
      <c r="I4" s="1050">
        <f ca="1">IF('数据-取费表'!E3="否",结果表!I121,'结果表 (1修多)'!I124)</f>
        <v>28794</v>
      </c>
    </row>
    <row r="5" spans="1:9" ht="15">
      <c r="A5" s="2787" t="s">
        <v>1287</v>
      </c>
      <c r="B5" s="2787"/>
      <c r="C5" s="2787"/>
      <c r="D5" s="2785" t="str">
        <f ca="1">IF('数据-取费表'!E3="否",结果表!D122,'结果表 (1修多)'!D125)</f>
        <v>壹佰壹拾壹万陆仟柒佰壹拾陆元整</v>
      </c>
      <c r="E5" s="2785"/>
      <c r="F5" s="2785" t="str">
        <f ca="1">IF('数据-取费表'!E3="否",结果表!F122,'结果表 (1修多)'!F125)</f>
        <v>壹拾叁万叁仟捌佰零捌元整</v>
      </c>
      <c r="G5" s="2785"/>
      <c r="H5" s="2785" t="str">
        <f ca="1">IF('数据-取费表'!E3="否",结果表!H122,'结果表 (1修多)'!H125)</f>
        <v>壹佰贰拾伍万零伍佰贰拾叁元整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1250523</v>
      </c>
      <c r="E8" s="2786"/>
      <c r="F8" s="2786"/>
      <c r="G8" s="2786"/>
      <c r="H8" s="2786"/>
      <c r="I8" s="2786"/>
    </row>
    <row r="9" spans="1:9" ht="15">
      <c r="A9" s="2787" t="s">
        <v>1287</v>
      </c>
      <c r="B9" s="2787"/>
      <c r="C9" s="2787"/>
      <c r="D9" s="2785">
        <f ca="1">IF('数据-取费表'!E3="否",结果表!D126,'结果表 (1修多)'!D129)</f>
        <v>28794</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2017-12-18T09:32:41Z</dcterms:modified>
</cp:coreProperties>
</file>